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36195" windowHeight="1174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10'!$A$1:$P$71</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calcChain.xml><?xml version="1.0" encoding="utf-8"?>
<calcChain xmlns="http://schemas.openxmlformats.org/spreadsheetml/2006/main">
  <c r="I2" i="4" l="1"/>
  <c r="F5" i="14" l="1"/>
  <c r="E17" i="1" l="1"/>
  <c r="B50" i="8" l="1"/>
  <c r="J11" i="3" l="1"/>
  <c r="E16" i="1" l="1"/>
  <c r="C25" i="8" l="1"/>
  <c r="I13" i="4"/>
  <c r="B4" i="13" l="1"/>
  <c r="J7" i="3" l="1"/>
  <c r="B38" i="8" l="1"/>
  <c r="B60" i="3"/>
  <c r="J23" i="3"/>
  <c r="J16" i="3"/>
  <c r="J15" i="3"/>
  <c r="J14" i="3"/>
  <c r="J13" i="3"/>
  <c r="J12" i="3"/>
  <c r="J10" i="3"/>
  <c r="J9" i="3"/>
  <c r="J8" i="3"/>
  <c r="J6" i="3"/>
  <c r="B42" i="3"/>
  <c r="B50" i="3"/>
  <c r="B25" i="3"/>
  <c r="B9" i="3"/>
  <c r="B8" i="3"/>
  <c r="B10" i="3"/>
  <c r="D69" i="3" l="1"/>
  <c r="E69" i="3" l="1"/>
  <c r="N22" i="3" l="1"/>
  <c r="J31" i="7" l="1"/>
  <c r="J26" i="6"/>
  <c r="J32" i="7" l="1"/>
  <c r="I27" i="13"/>
  <c r="J42" i="7" l="1"/>
  <c r="J43" i="7"/>
  <c r="J41" i="7"/>
  <c r="J27" i="6" l="1"/>
  <c r="J28" i="6"/>
  <c r="J13" i="6"/>
  <c r="J19" i="7"/>
  <c r="J20" i="7"/>
  <c r="J42" i="6"/>
  <c r="J9" i="7"/>
  <c r="J21" i="7"/>
  <c r="C8" i="8" l="1"/>
  <c r="D6" i="8" s="1"/>
  <c r="E5" i="8"/>
  <c r="D11" i="8"/>
  <c r="F7" i="8"/>
  <c r="F6" i="8"/>
  <c r="D7" i="8"/>
  <c r="F5" i="8"/>
  <c r="E6" i="8" l="1"/>
  <c r="D5" i="8"/>
  <c r="N10" i="3" l="1"/>
  <c r="K6" i="4" s="1"/>
  <c r="C13" i="13"/>
  <c r="C48" i="8" l="1"/>
  <c r="N11" i="3" s="1"/>
  <c r="F39" i="3" l="1"/>
  <c r="I43" i="12" l="1"/>
  <c r="J34" i="12" s="1"/>
  <c r="J38" i="12"/>
  <c r="J42" i="12"/>
  <c r="K13" i="12"/>
  <c r="L4" i="12" s="1"/>
  <c r="L13" i="12" s="1"/>
  <c r="L8" i="12"/>
  <c r="L12" i="12"/>
  <c r="F9" i="4"/>
  <c r="G4" i="4"/>
  <c r="C52" i="12"/>
  <c r="D21" i="12" s="1"/>
  <c r="D33" i="12"/>
  <c r="D49" i="12"/>
  <c r="E52" i="12"/>
  <c r="F21" i="12" s="1"/>
  <c r="F25" i="12"/>
  <c r="F29" i="12"/>
  <c r="F33" i="12"/>
  <c r="F41" i="12"/>
  <c r="F45" i="12"/>
  <c r="F49" i="12"/>
  <c r="J35" i="12"/>
  <c r="J39" i="12"/>
  <c r="K28" i="12"/>
  <c r="L22" i="12" s="1"/>
  <c r="L19" i="12"/>
  <c r="L23" i="12"/>
  <c r="L27" i="12"/>
  <c r="L5" i="12"/>
  <c r="L9" i="12"/>
  <c r="G5" i="4"/>
  <c r="D16" i="4"/>
  <c r="E14" i="4" s="1"/>
  <c r="D63" i="4"/>
  <c r="E54" i="4" s="1"/>
  <c r="E51" i="4"/>
  <c r="E55" i="4"/>
  <c r="E59" i="4"/>
  <c r="F63" i="4"/>
  <c r="G61" i="4" s="1"/>
  <c r="G51" i="4"/>
  <c r="G55" i="4"/>
  <c r="G59" i="4"/>
  <c r="C15" i="12"/>
  <c r="D11" i="12" s="1"/>
  <c r="D4" i="12"/>
  <c r="D8" i="12"/>
  <c r="D12" i="12"/>
  <c r="E15" i="12"/>
  <c r="F13" i="12" s="1"/>
  <c r="F4" i="12"/>
  <c r="F8" i="12"/>
  <c r="F12" i="12"/>
  <c r="D22" i="12"/>
  <c r="D26" i="12"/>
  <c r="D30" i="12"/>
  <c r="D34" i="12"/>
  <c r="D38" i="12"/>
  <c r="D42" i="12"/>
  <c r="D46" i="12"/>
  <c r="D50" i="12"/>
  <c r="F22" i="12"/>
  <c r="F26" i="12"/>
  <c r="F30" i="12"/>
  <c r="F34" i="12"/>
  <c r="F38" i="12"/>
  <c r="F42" i="12"/>
  <c r="F46" i="12"/>
  <c r="F50" i="12"/>
  <c r="E39" i="3"/>
  <c r="H33" i="3" s="1"/>
  <c r="H30" i="3"/>
  <c r="H34" i="3"/>
  <c r="H38" i="3"/>
  <c r="J36" i="12"/>
  <c r="J40" i="12"/>
  <c r="K43" i="12"/>
  <c r="L39" i="12" s="1"/>
  <c r="L34" i="12"/>
  <c r="L20" i="12"/>
  <c r="L24" i="12"/>
  <c r="I13" i="12"/>
  <c r="J8" i="12" s="1"/>
  <c r="J4" i="12"/>
  <c r="L6" i="12"/>
  <c r="L10" i="12"/>
  <c r="G6" i="4"/>
  <c r="E15" i="4"/>
  <c r="F16" i="4"/>
  <c r="G15" i="4" s="1"/>
  <c r="D24" i="4"/>
  <c r="E23" i="4" s="1"/>
  <c r="E21" i="4"/>
  <c r="F24" i="4"/>
  <c r="G22" i="4" s="1"/>
  <c r="E52" i="4"/>
  <c r="E56" i="4"/>
  <c r="E60" i="4"/>
  <c r="G52" i="4"/>
  <c r="G56" i="4"/>
  <c r="G60" i="4"/>
  <c r="D5" i="12"/>
  <c r="D9" i="12"/>
  <c r="D13" i="12"/>
  <c r="F5" i="12"/>
  <c r="F9" i="12"/>
  <c r="D23" i="12"/>
  <c r="D27" i="12"/>
  <c r="D31" i="12"/>
  <c r="D35" i="12"/>
  <c r="D39" i="12"/>
  <c r="D43" i="12"/>
  <c r="D47" i="12"/>
  <c r="D51" i="12"/>
  <c r="F23" i="12"/>
  <c r="F27" i="12"/>
  <c r="F31" i="12"/>
  <c r="F35" i="12"/>
  <c r="F39" i="12"/>
  <c r="F43" i="12"/>
  <c r="F47" i="12"/>
  <c r="F51" i="12"/>
  <c r="H27" i="3"/>
  <c r="H31" i="3"/>
  <c r="D45" i="4"/>
  <c r="E44" i="4" s="1"/>
  <c r="E29" i="4"/>
  <c r="E33" i="4"/>
  <c r="E37" i="4"/>
  <c r="E41" i="4"/>
  <c r="F45" i="4"/>
  <c r="G30" i="4" s="1"/>
  <c r="G29" i="4"/>
  <c r="G41" i="4"/>
  <c r="J37" i="12"/>
  <c r="J41" i="12"/>
  <c r="L35" i="12"/>
  <c r="I28" i="12"/>
  <c r="J25" i="12" s="1"/>
  <c r="J19" i="12"/>
  <c r="L21" i="12"/>
  <c r="L25" i="12"/>
  <c r="J5" i="12"/>
  <c r="J9" i="12"/>
  <c r="L7" i="12"/>
  <c r="L11" i="12"/>
  <c r="D9" i="4"/>
  <c r="E5" i="4" s="1"/>
  <c r="E4" i="4"/>
  <c r="E8" i="4"/>
  <c r="G7" i="4"/>
  <c r="E22" i="4"/>
  <c r="E53" i="4"/>
  <c r="E57" i="4"/>
  <c r="E61" i="4"/>
  <c r="G53" i="4"/>
  <c r="G57" i="4"/>
  <c r="D6" i="12"/>
  <c r="D10" i="12"/>
  <c r="D14" i="12"/>
  <c r="F6" i="12"/>
  <c r="F10" i="12"/>
  <c r="F14" i="12"/>
  <c r="D24" i="12"/>
  <c r="D28" i="12"/>
  <c r="D32" i="12"/>
  <c r="D36" i="12"/>
  <c r="D40" i="12"/>
  <c r="D44" i="12"/>
  <c r="D48" i="12"/>
  <c r="F24" i="12"/>
  <c r="F28" i="12"/>
  <c r="F32" i="12"/>
  <c r="F36" i="12"/>
  <c r="F40" i="12"/>
  <c r="F44" i="12"/>
  <c r="F48" i="12"/>
  <c r="D39" i="3"/>
  <c r="F8" i="3" s="1"/>
  <c r="G26" i="3"/>
  <c r="H28" i="3"/>
  <c r="H32" i="3"/>
  <c r="H36" i="3"/>
  <c r="G38" i="3" l="1"/>
  <c r="J26" i="12"/>
  <c r="G44" i="4"/>
  <c r="E40" i="4"/>
  <c r="G36" i="3"/>
  <c r="J21" i="12"/>
  <c r="G31" i="4"/>
  <c r="E31" i="4"/>
  <c r="G35" i="3"/>
  <c r="D7" i="12"/>
  <c r="E62" i="4"/>
  <c r="J10" i="12"/>
  <c r="J24" i="12"/>
  <c r="G42" i="4"/>
  <c r="E42" i="4"/>
  <c r="G37" i="3"/>
  <c r="E24" i="4"/>
  <c r="J22" i="12"/>
  <c r="G40" i="4"/>
  <c r="E36" i="4"/>
  <c r="G32" i="3"/>
  <c r="D15" i="12"/>
  <c r="J11" i="12"/>
  <c r="L41" i="12"/>
  <c r="G43" i="4"/>
  <c r="E43" i="4"/>
  <c r="H37" i="3"/>
  <c r="G31" i="3"/>
  <c r="D45" i="12"/>
  <c r="D29" i="12"/>
  <c r="F11" i="12"/>
  <c r="G62" i="4"/>
  <c r="E58" i="4"/>
  <c r="E63" i="4" s="1"/>
  <c r="G9" i="4"/>
  <c r="J6" i="12"/>
  <c r="J13" i="12" s="1"/>
  <c r="J20" i="12"/>
  <c r="J28" i="12" s="1"/>
  <c r="G38" i="4"/>
  <c r="E38" i="4"/>
  <c r="G34" i="3"/>
  <c r="J27" i="12"/>
  <c r="G37" i="4"/>
  <c r="G33" i="3"/>
  <c r="J12" i="12"/>
  <c r="L42" i="12"/>
  <c r="G36" i="4"/>
  <c r="E32" i="4"/>
  <c r="H26" i="3"/>
  <c r="G28" i="3"/>
  <c r="E6" i="4"/>
  <c r="E9" i="4" s="1"/>
  <c r="J7" i="12"/>
  <c r="L37" i="12"/>
  <c r="G39" i="4"/>
  <c r="E39" i="4"/>
  <c r="G27" i="3"/>
  <c r="F37" i="12"/>
  <c r="F52" i="12" s="1"/>
  <c r="D41" i="12"/>
  <c r="D25" i="12"/>
  <c r="D52" i="12" s="1"/>
  <c r="F7" i="12"/>
  <c r="F15" i="12" s="1"/>
  <c r="G58" i="4"/>
  <c r="L26" i="12"/>
  <c r="L28" i="12" s="1"/>
  <c r="L40" i="12"/>
  <c r="G34" i="4"/>
  <c r="E34" i="4"/>
  <c r="G30" i="3"/>
  <c r="J23" i="12"/>
  <c r="G33" i="4"/>
  <c r="G29" i="3"/>
  <c r="G21" i="4"/>
  <c r="G14" i="4"/>
  <c r="G16" i="4" s="1"/>
  <c r="E7" i="4"/>
  <c r="L38" i="12"/>
  <c r="G32" i="4"/>
  <c r="G45" i="4" s="1"/>
  <c r="H35" i="3"/>
  <c r="F9" i="3"/>
  <c r="G35" i="4"/>
  <c r="E35" i="4"/>
  <c r="H29" i="3"/>
  <c r="D37" i="12"/>
  <c r="G54" i="4"/>
  <c r="G63" i="4" s="1"/>
  <c r="G23" i="4"/>
  <c r="L36" i="12"/>
  <c r="L43" i="12" s="1"/>
  <c r="E30" i="4"/>
  <c r="E45" i="4" s="1"/>
  <c r="G39" i="3" l="1"/>
  <c r="G24" i="4"/>
  <c r="H39" i="3"/>
</calcChain>
</file>

<file path=xl/sharedStrings.xml><?xml version="1.0" encoding="utf-8"?>
<sst xmlns="http://schemas.openxmlformats.org/spreadsheetml/2006/main" count="1171" uniqueCount="579">
  <si>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</si>
  <si>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</si>
  <si>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</si>
  <si>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</si>
  <si>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</si>
  <si>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</si>
  <si>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</si>
  <si>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</si>
  <si>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</si>
  <si>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</si>
  <si>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</si>
  <si>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</si>
  <si>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</si>
  <si>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</si>
  <si>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</si>
  <si>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</si>
  <si>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</si>
  <si>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</si>
  <si>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</si>
  <si>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</si>
  <si>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</si>
  <si>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</si>
  <si>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</si>
  <si>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</si>
  <si>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</si>
  <si>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</si>
  <si>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</si>
  <si>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</si>
  <si>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</si>
  <si>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</si>
  <si>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</si>
  <si>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</si>
  <si>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</si>
  <si>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</si>
  <si>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</si>
  <si>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</si>
  <si>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</si>
  <si>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</si>
  <si>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</si>
  <si>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</si>
  <si>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</si>
  <si>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</si>
  <si>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</si>
  <si>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</si>
  <si>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</si>
  <si>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</si>
  <si>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</si>
  <si>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</si>
  <si>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</si>
  <si>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</si>
  <si>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</si>
  <si>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</si>
  <si>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</si>
  <si>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</si>
  <si>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</si>
  <si>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</si>
  <si>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</si>
  <si>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</si>
  <si>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</si>
  <si>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</si>
  <si>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</si>
  <si>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</si>
  <si>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</si>
  <si>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</si>
  <si>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</si>
  <si>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</si>
  <si>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</si>
  <si>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</si>
  <si>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</si>
  <si>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</si>
  <si>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</si>
  <si>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</si>
  <si>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</si>
  <si>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</si>
  <si>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</si>
  <si>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</si>
  <si>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</si>
  <si>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</si>
  <si>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</si>
  <si>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</si>
  <si>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</si>
  <si>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</si>
  <si>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</si>
  <si>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</si>
  <si>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</si>
  <si>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</si>
  <si>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</si>
  <si>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</si>
  <si>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</si>
  <si>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</si>
  <si>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</si>
  <si>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</si>
  <si>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</si>
  <si>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</si>
  <si>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</si>
  <si>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</si>
  <si>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</si>
  <si>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</si>
  <si>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</si>
  <si>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</si>
  <si>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</si>
  <si>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</si>
  <si>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</si>
  <si>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</si>
  <si>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</si>
  <si>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</si>
  <si>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</si>
  <si>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</si>
  <si>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</si>
  <si>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</si>
  <si>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</si>
  <si>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</si>
  <si>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</si>
  <si>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</si>
  <si>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</si>
  <si>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</si>
  <si>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</si>
  <si>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</si>
  <si>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</si>
  <si>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</si>
  <si>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</si>
  <si>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</si>
  <si>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</si>
  <si>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</si>
  <si>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</si>
  <si>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</si>
  <si>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</si>
  <si>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</si>
  <si>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</si>
  <si>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</si>
  <si>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</si>
  <si>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</si>
  <si>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</si>
  <si>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</si>
  <si>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</si>
  <si>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</si>
  <si>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</si>
  <si>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</si>
  <si>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</si>
  <si>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</si>
  <si>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</si>
  <si>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</si>
  <si>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</si>
  <si>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</si>
  <si>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</si>
  <si>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</si>
  <si>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</si>
  <si>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</si>
  <si>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</si>
  <si>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</si>
  <si>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</si>
  <si>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</si>
  <si>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</si>
  <si>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</si>
  <si>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</si>
  <si>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</si>
  <si>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</si>
  <si>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</si>
  <si>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</si>
  <si>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</si>
  <si>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</si>
  <si>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</si>
  <si>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</si>
  <si>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</si>
  <si>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</si>
  <si>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</si>
  <si>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</si>
  <si>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</si>
  <si>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</si>
  <si>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</si>
  <si>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</si>
  <si>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</si>
  <si>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</si>
  <si>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</si>
  <si>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</si>
  <si>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</si>
  <si>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</si>
  <si>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</si>
  <si>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</si>
  <si>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</si>
  <si>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</si>
  <si>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</si>
  <si>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</si>
  <si>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</si>
  <si>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</si>
  <si>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</si>
  <si>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</si>
  <si>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</si>
  <si>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</si>
  <si>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</si>
  <si>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</si>
  <si>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</si>
  <si>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</si>
  <si>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</si>
  <si>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</si>
  <si>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</si>
  <si>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</si>
  <si>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</si>
  <si>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</si>
  <si>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</si>
  <si>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</si>
  <si>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</si>
  <si>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</si>
  <si>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</si>
  <si>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</si>
  <si>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</si>
  <si>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</si>
  <si>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</si>
  <si>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</si>
  <si>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</si>
  <si>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</si>
  <si>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</si>
  <si>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</si>
  <si>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</si>
  <si>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</si>
  <si>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</si>
  <si>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</si>
  <si>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</si>
  <si>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</si>
  <si>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</si>
  <si>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</si>
  <si>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</si>
  <si>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</si>
  <si>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</si>
  <si>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</si>
  <si>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</si>
  <si>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</si>
  <si>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</si>
  <si>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</si>
  <si>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</si>
  <si>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</si>
  <si>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</si>
  <si>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</si>
  <si>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</si>
  <si>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</si>
  <si>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</si>
  <si>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</si>
  <si>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</si>
  <si>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</si>
  <si>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</si>
  <si>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</si>
  <si>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</si>
  <si>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</si>
  <si>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</si>
  <si>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</si>
  <si>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</si>
  <si>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</si>
  <si>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</si>
  <si>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</si>
  <si>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</si>
  <si>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</si>
  <si>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</si>
  <si>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</si>
  <si>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</si>
  <si>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</si>
  <si>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</si>
  <si>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</si>
  <si>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</si>
  <si>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</si>
  <si>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</si>
  <si>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</si>
  <si>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</si>
  <si>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</si>
  <si>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</si>
  <si>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</si>
  <si>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</si>
  <si>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</si>
  <si>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</si>
  <si>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</si>
  <si>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</si>
  <si>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</si>
  <si>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</si>
  <si>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</si>
  <si>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</si>
  <si>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</si>
  <si>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</si>
  <si>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</si>
  <si>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</si>
  <si>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</si>
  <si>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</si>
  <si>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</si>
  <si>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</si>
  <si>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</si>
  <si>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</si>
  <si>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</si>
  <si>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</si>
  <si>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</si>
  <si>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</si>
  <si>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</si>
  <si>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</si>
  <si>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</si>
  <si>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</si>
  <si>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</si>
  <si>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</si>
  <si>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</si>
  <si>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</si>
  <si>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</si>
  <si>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</si>
  <si>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</si>
  <si>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</si>
  <si>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</si>
  <si>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</si>
  <si>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</si>
  <si>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</si>
  <si>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</si>
  <si>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</si>
  <si>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</si>
  <si>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</si>
  <si>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</si>
  <si>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</si>
  <si>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</si>
  <si>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</si>
  <si>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</si>
  <si>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</si>
  <si>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</si>
  <si>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</si>
  <si>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</si>
  <si>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</si>
  <si>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</si>
  <si>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</si>
  <si>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</si>
  <si>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</si>
  <si>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</si>
  <si>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</si>
  <si>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</si>
  <si>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</si>
  <si>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</si>
  <si>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</si>
  <si>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</si>
  <si>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</si>
  <si>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</si>
  <si>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</si>
  <si>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</si>
  <si>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</si>
  <si>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</si>
  <si>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</si>
  <si>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</si>
  <si>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</si>
  <si>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</si>
  <si>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</si>
  <si>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</si>
  <si>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</si>
  <si>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</si>
  <si>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</si>
  <si>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</si>
  <si>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</si>
  <si>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</si>
  <si>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</si>
  <si>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</si>
  <si>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</si>
  <si>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</si>
  <si>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</si>
  <si>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</si>
  <si>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</si>
  <si>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</si>
  <si>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</si>
  <si>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</si>
  <si>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</si>
  <si>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</si>
  <si>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</si>
  <si>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</si>
  <si>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</si>
  <si>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</si>
  <si>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</si>
  <si>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</si>
  <si>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</si>
  <si>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</si>
  <si>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</si>
  <si>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</si>
  <si>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</si>
  <si>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</si>
  <si>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</si>
  <si>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</si>
  <si>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</si>
  <si>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</si>
  <si>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</si>
  <si>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</si>
  <si>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</si>
  <si>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</si>
  <si>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</si>
  <si>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</si>
  <si>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</si>
  <si>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</si>
  <si>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</si>
  <si>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</si>
  <si>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</si>
  <si>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</si>
  <si>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</si>
  <si>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</si>
  <si>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</si>
  <si>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</si>
  <si>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</si>
  <si>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</si>
  <si>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</si>
  <si>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</si>
  <si>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</si>
  <si>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</si>
  <si>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</si>
  <si>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</si>
  <si>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</si>
  <si>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</si>
  <si>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</si>
  <si>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</si>
  <si>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</si>
  <si>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</si>
  <si>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</si>
  <si>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</si>
  <si>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</si>
  <si>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</si>
  <si>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</si>
  <si>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</si>
  <si>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</si>
  <si>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</si>
  <si>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</si>
  <si>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</si>
  <si>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</si>
  <si>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</si>
  <si>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</si>
  <si>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</si>
  <si>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</si>
  <si>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</si>
  <si>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</si>
  <si>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</si>
  <si>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</si>
  <si>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</si>
  <si>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</si>
  <si>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</si>
  <si>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</si>
  <si>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</si>
  <si>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</si>
  <si>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</si>
  <si>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</si>
  <si>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</si>
  <si>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</si>
  <si>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</si>
  <si>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</si>
  <si>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</si>
  <si>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</si>
  <si>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</si>
  <si>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</si>
  <si>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</si>
  <si>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</si>
  <si>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</si>
  <si>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</si>
  <si>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</si>
  <si>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</si>
  <si>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</si>
  <si>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</si>
  <si>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</si>
  <si>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</si>
  <si>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</si>
  <si>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</si>
  <si>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</si>
  <si>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</si>
  <si>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</si>
  <si>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</si>
  <si>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</si>
  <si>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</si>
  <si>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</si>
  <si>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</si>
  <si>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</si>
  <si>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</si>
  <si>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</si>
  <si>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</si>
  <si>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</si>
  <si>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</si>
  <si>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</si>
  <si>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</si>
  <si>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</si>
  <si>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</si>
  <si>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</si>
  <si>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</si>
  <si>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</si>
  <si>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</si>
  <si>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</si>
  <si>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</si>
  <si>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</si>
  <si>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</si>
  <si>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</si>
  <si>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</si>
  <si>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</si>
  <si>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</si>
  <si>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</si>
  <si>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</si>
  <si>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</si>
  <si>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</si>
  <si>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</si>
  <si>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</si>
  <si>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</si>
  <si>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</si>
  <si>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</si>
  <si>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</si>
  <si>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</si>
  <si>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</si>
  <si>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</si>
  <si>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</si>
  <si>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</si>
  <si>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</si>
  <si>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</si>
  <si>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</si>
  <si>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</si>
  <si>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</si>
  <si>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</si>
  <si>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</si>
  <si>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</si>
  <si>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</si>
  <si>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</si>
  <si>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</si>
  <si>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</si>
  <si>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</si>
  <si>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</si>
  <si>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</si>
  <si>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</si>
  <si>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</si>
  <si>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</si>
  <si>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</si>
  <si>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</si>
  <si>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</si>
  <si>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</si>
  <si>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</si>
  <si>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</si>
  <si>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</si>
  <si>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</si>
  <si>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</si>
  <si>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</si>
  <si>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</si>
  <si>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</si>
  <si>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</si>
  <si>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</si>
  <si>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</si>
  <si>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</si>
  <si>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</si>
  <si>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</si>
  <si>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</si>
  <si>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</si>
  <si>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</si>
  <si>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</si>
  <si>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</si>
  <si>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</si>
  <si>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</si>
  <si>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</si>
  <si>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</si>
  <si>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</si>
  <si>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</si>
  <si>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</si>
  <si>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</si>
  <si>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</si>
  <si>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</si>
  <si>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</si>
  <si>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</si>
  <si>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ANTS</t>
  </si>
  <si>
    <t>2016-1 A1</t>
  </si>
  <si>
    <t>Substitution &amp; Top up</t>
  </si>
  <si>
    <t>#</t>
  </si>
  <si>
    <t>*for distribution period 15 July 2016 - 15 October 2016</t>
  </si>
  <si>
    <t>XS0557835351</t>
  </si>
  <si>
    <t>XS0557835435</t>
  </si>
  <si>
    <t>Quarterly Excess Spread*</t>
  </si>
  <si>
    <t xml:space="preserve"> </t>
  </si>
  <si>
    <t>Issuer Distribution Date:</t>
  </si>
  <si>
    <t>(w)</t>
  </si>
  <si>
    <t>(v)</t>
  </si>
  <si>
    <t>interest paymemt</t>
  </si>
  <si>
    <t>Start up loan payments due</t>
  </si>
  <si>
    <t>(u)</t>
  </si>
  <si>
    <t>A / Aa3 / A</t>
  </si>
  <si>
    <t>AA+ / AAa3 / AA-</t>
  </si>
  <si>
    <t>There was no collateral posted during the reporting period 01-February-17 to 28-February-17.</t>
  </si>
  <si>
    <t>15/10/2016 -  15/04/2017</t>
  </si>
  <si>
    <t>15/01/2017 - 15/07/2017</t>
  </si>
  <si>
    <t>17/01/2017 - 18/04/2017</t>
  </si>
  <si>
    <t/>
  </si>
  <si>
    <t>15/03/2017 - 18/04/2017</t>
  </si>
  <si>
    <t>As at the report date, the maximum loan size was £ 749,909.15, the minimum loan size was £ 0.00 and the average loan size was £ 89,901.00.</t>
  </si>
  <si>
    <t>As at the report date, the maximum indexed LTV was 131.62, the minimum indexed LTV was 0.00 and the weighted average indexed LTV was 47.80.</t>
  </si>
  <si>
    <t>As at the report date, the maximum remaining term for a loan was 409.00 months, the minimum remaining term was 0 months and the weighted average remaining term was 137.00 months.</t>
  </si>
  <si>
    <t>As at the report date, the maximum unindexed LTV was 214.64, the minimum unindexed LTV was 0.00 and the weighted average unindexed LTV was 60.50.</t>
  </si>
  <si>
    <t>As at the report date, the maximum original LTV was 95.00,the minimum LTV at origination was 0.12 and the weighted average LTV at origination was 67.23.</t>
  </si>
  <si>
    <t>As at the report date, the maximum seasoning for a loan was 259.00 months, the minimum seasoning was 14.00 months and the weighted average seasoning was 123.16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</si>
</sst>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10">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27">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9" fontId="4" fillId="0" borderId="0" xfId="3" applyNumberFormat="1"/>
    <xf numFmtId="169" fontId="0" fillId="0" borderId="0" xfId="0" applyNumberFormat="1" applyFont="1" applyAlignment="1">
      <alignment horizontal="center"/>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0" fontId="4" fillId="0" borderId="24" xfId="3" applyFont="1" applyBorder="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69" fontId="14" fillId="0" borderId="54" xfId="48"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24" xfId="48" applyNumberFormat="1" applyFont="1" applyFill="1" applyBorder="1"/>
    <xf numFmtId="15" fontId="23" fillId="0" borderId="0" xfId="3" applyNumberFormat="1" applyFont="1" applyAlignment="1"/>
    <xf numFmtId="165" fontId="19" fillId="0" borderId="21" xfId="8" applyNumberFormat="1" applyFont="1" applyFill="1" applyBorder="1" applyAlignment="1">
      <alignment horizontal="center" vertical="center"/>
    </xf>
    <xf numFmtId="0" fontId="108" fillId="0" borderId="0" xfId="0" applyFont="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76" fontId="109" fillId="0" borderId="0" xfId="0" applyNumberFormat="1" applyFont="1" applyBorder="1" applyAlignment="1">
      <alignment horizontal="center" vertical="center"/>
    </xf>
    <xf numFmtId="14" fontId="14" fillId="0" borderId="0" xfId="20" applyNumberFormat="1" applyFont="1" applyFill="1" applyBorder="1" applyAlignment="1">
      <alignment horizontal="right"/>
    </xf>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182" fontId="4" fillId="0" borderId="0" xfId="3" applyNumberFormat="1"/>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0" fontId="18" fillId="0" borderId="0" xfId="3" applyFont="1" applyFill="1" applyAlignment="1">
      <alignment horizontal="center" vertical="center"/>
    </xf>
    <xf numFmtId="170" fontId="14" fillId="0" borderId="21" xfId="8"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1548" y="309653"/>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B25" sqref="B25:Q2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60">
        <v>42825</v>
      </c>
      <c r="G15" s="22"/>
      <c r="H15" s="10"/>
      <c r="I15" s="10"/>
      <c r="J15" s="10"/>
      <c r="K15" s="10"/>
      <c r="L15" s="10"/>
      <c r="M15" s="10"/>
      <c r="N15" s="10"/>
      <c r="O15" s="10"/>
      <c r="P15" s="23"/>
      <c r="Q15" s="24"/>
      <c r="R15" s="19"/>
    </row>
    <row r="16" spans="1:18" ht="12.75">
      <c r="A16" s="19"/>
      <c r="B16" s="25" t="s">
        <v>1</v>
      </c>
      <c r="C16" s="26"/>
      <c r="D16" s="26"/>
      <c r="E16" s="27" t="str">
        <f>TEXT(EOMONTH(E15,-1)+1,"dd-mmmm-yy")&amp;" to "&amp;TEXT(E15,"dd-mmmm-yy")</f>
        <v>01-March-17 to 31-March-17</v>
      </c>
      <c r="F16" s="22"/>
      <c r="G16" s="22"/>
      <c r="H16" s="10"/>
      <c r="I16" s="10"/>
      <c r="J16" s="10"/>
      <c r="K16" s="10"/>
      <c r="L16" s="10"/>
      <c r="M16" s="10"/>
      <c r="N16" s="10"/>
      <c r="O16" s="10"/>
      <c r="P16" s="23"/>
      <c r="Q16" s="24"/>
      <c r="R16" s="19"/>
    </row>
    <row r="17" spans="1:18" ht="12.75">
      <c r="A17" s="19"/>
      <c r="B17" s="25" t="s">
        <v>548</v>
      </c>
      <c r="C17" s="26"/>
      <c r="D17" s="26"/>
      <c r="E17" s="661">
        <f>WORKDAY(EOMONTH(E15,-1),6)</f>
        <v>42802</v>
      </c>
      <c r="F17" s="22"/>
      <c r="G17" s="22"/>
      <c r="H17" s="10"/>
      <c r="I17" s="10"/>
      <c r="J17" s="10"/>
      <c r="K17" s="10"/>
      <c r="L17" s="10"/>
      <c r="M17" s="10"/>
      <c r="N17" s="10"/>
      <c r="O17" s="10"/>
      <c r="P17" s="23"/>
      <c r="Q17" s="24"/>
      <c r="R17" s="19"/>
    </row>
    <row r="18" spans="1:18" ht="12.75">
      <c r="A18" s="19"/>
      <c r="B18" s="25" t="s">
        <v>559</v>
      </c>
      <c r="C18" s="28"/>
      <c r="D18" s="28"/>
      <c r="E18" s="662">
        <v>42843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65" t="s">
        <v>2</v>
      </c>
      <c r="C21" s="666"/>
      <c r="D21" s="666"/>
      <c r="E21" s="666"/>
      <c r="F21" s="666"/>
      <c r="G21" s="666"/>
      <c r="H21" s="666"/>
      <c r="I21" s="666"/>
      <c r="J21" s="666"/>
      <c r="K21" s="666"/>
      <c r="L21" s="666"/>
      <c r="M21" s="666"/>
      <c r="N21" s="666"/>
      <c r="O21" s="666"/>
      <c r="P21" s="666"/>
      <c r="Q21" s="666"/>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67" t="s">
        <v>3</v>
      </c>
      <c r="C23" s="667"/>
      <c r="D23" s="667"/>
      <c r="E23" s="667"/>
      <c r="F23" s="667"/>
      <c r="G23" s="667"/>
      <c r="H23" s="667"/>
      <c r="I23" s="667"/>
      <c r="J23" s="667"/>
      <c r="K23" s="667"/>
      <c r="L23" s="667"/>
      <c r="M23" s="667"/>
      <c r="N23" s="667"/>
      <c r="O23" s="667"/>
      <c r="P23" s="667"/>
      <c r="Q23" s="667"/>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67"/>
      <c r="C25" s="667"/>
      <c r="D25" s="667"/>
      <c r="E25" s="667"/>
      <c r="F25" s="667"/>
      <c r="G25" s="667"/>
      <c r="H25" s="667"/>
      <c r="I25" s="667"/>
      <c r="J25" s="667"/>
      <c r="K25" s="667"/>
      <c r="L25" s="667"/>
      <c r="M25" s="667"/>
      <c r="N25" s="667"/>
      <c r="O25" s="667"/>
      <c r="P25" s="667"/>
      <c r="Q25" s="667"/>
      <c r="R25" s="1"/>
    </row>
    <row r="26" spans="1:18" ht="18" customHeight="1">
      <c r="A26" s="1"/>
      <c r="B26" s="667" t="s">
        <v>4</v>
      </c>
      <c r="C26" s="667"/>
      <c r="D26" s="667"/>
      <c r="E26" s="667"/>
      <c r="F26" s="667"/>
      <c r="G26" s="667"/>
      <c r="H26" s="667"/>
      <c r="I26" s="667"/>
      <c r="J26" s="667"/>
      <c r="K26" s="667"/>
      <c r="L26" s="667"/>
      <c r="M26" s="667"/>
      <c r="N26" s="667"/>
      <c r="O26" s="667"/>
      <c r="P26" s="667"/>
      <c r="Q26" s="667"/>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68" t="s">
        <v>5</v>
      </c>
      <c r="C28" s="668"/>
      <c r="D28" s="588"/>
      <c r="E28" s="4"/>
      <c r="F28" s="4"/>
      <c r="G28" s="588"/>
      <c r="H28" s="588"/>
      <c r="I28" s="34"/>
      <c r="J28" s="34"/>
      <c r="K28" s="588"/>
      <c r="L28" s="588"/>
      <c r="M28" s="588"/>
      <c r="N28" s="588"/>
      <c r="O28" s="588"/>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88"/>
      <c r="C32" s="36"/>
      <c r="D32" s="36"/>
      <c r="E32" s="4"/>
      <c r="F32" s="4"/>
      <c r="G32" s="4"/>
      <c r="H32" s="4"/>
      <c r="I32" s="4"/>
      <c r="J32" s="4"/>
      <c r="K32" s="4"/>
      <c r="L32" s="4"/>
      <c r="M32" s="4"/>
      <c r="N32" s="4"/>
      <c r="O32" s="4"/>
      <c r="P32" s="6"/>
      <c r="Q32" s="7"/>
      <c r="R32" s="1"/>
    </row>
    <row r="33" spans="1:18" ht="12.75">
      <c r="A33" s="1"/>
      <c r="B33" s="35" t="s">
        <v>7</v>
      </c>
      <c r="C33" s="19" t="s">
        <v>8</v>
      </c>
      <c r="D33" s="589" t="s">
        <v>9</v>
      </c>
      <c r="E33" s="37"/>
      <c r="F33" s="37"/>
      <c r="G33" s="38"/>
      <c r="H33" s="38"/>
      <c r="I33" s="4"/>
      <c r="J33" s="4"/>
      <c r="K33" s="4"/>
      <c r="L33" s="4"/>
      <c r="M33" s="4"/>
      <c r="N33" s="4"/>
      <c r="O33" s="4"/>
      <c r="P33" s="6"/>
      <c r="Q33" s="7"/>
      <c r="R33" s="1"/>
    </row>
    <row r="34" spans="1:18" ht="12.75">
      <c r="A34" s="1"/>
      <c r="B34" s="58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March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9"/>
  <sheetViews>
    <sheetView view="pageLayout" zoomScale="70" zoomScaleNormal="100" zoomScaleSheetLayoutView="85" zoomScalePageLayoutView="70" workbookViewId="0">
      <selection activeCell="D26" sqref="D2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525" t="s">
        <v>529</v>
      </c>
      <c r="C1" s="525"/>
      <c r="D1" s="526"/>
      <c r="E1" s="526"/>
      <c r="F1" s="526"/>
      <c r="G1" s="526"/>
      <c r="H1" s="526"/>
      <c r="I1" s="526"/>
      <c r="J1" s="526"/>
      <c r="K1" s="526"/>
      <c r="L1" s="526"/>
      <c r="M1" s="526"/>
      <c r="N1" s="526"/>
      <c r="O1" s="526"/>
      <c r="P1" s="526"/>
    </row>
    <row r="2" spans="1:16" ht="15">
      <c r="A2"/>
      <c r="B2"/>
      <c r="C2"/>
      <c r="D2"/>
      <c r="E2"/>
      <c r="F2"/>
      <c r="G2"/>
      <c r="H2"/>
      <c r="I2"/>
      <c r="J2"/>
      <c r="K2"/>
      <c r="L2"/>
      <c r="M2"/>
      <c r="N2"/>
      <c r="O2"/>
      <c r="P2"/>
    </row>
    <row r="3" spans="1:16" ht="15.75" thickBot="1">
      <c r="A3" s="527"/>
      <c r="B3" s="528"/>
      <c r="C3" s="528"/>
      <c r="D3" s="528"/>
      <c r="E3" s="528"/>
      <c r="F3" s="602"/>
      <c r="G3" s="528"/>
      <c r="H3" s="528"/>
      <c r="I3" s="528"/>
      <c r="J3" s="528"/>
      <c r="K3" s="528"/>
      <c r="L3" s="528"/>
      <c r="M3" s="528"/>
      <c r="N3" s="528"/>
      <c r="O3" s="528"/>
      <c r="P3"/>
    </row>
    <row r="4" spans="1:16" ht="28.5" customHeight="1" thickBot="1">
      <c r="A4" s="529"/>
      <c r="B4" s="654" t="s">
        <v>530</v>
      </c>
      <c r="C4" s="655" t="s">
        <v>531</v>
      </c>
      <c r="D4" s="656" t="s">
        <v>532</v>
      </c>
      <c r="E4" s="657" t="s">
        <v>533</v>
      </c>
      <c r="F4" s="656" t="s">
        <v>534</v>
      </c>
      <c r="G4" s="657" t="s">
        <v>535</v>
      </c>
      <c r="H4" s="656" t="s">
        <v>536</v>
      </c>
      <c r="I4" s="657" t="s">
        <v>537</v>
      </c>
      <c r="J4" s="656" t="s">
        <v>538</v>
      </c>
      <c r="K4" s="657" t="s">
        <v>539</v>
      </c>
      <c r="L4" s="656" t="s">
        <v>540</v>
      </c>
      <c r="M4" s="657" t="s">
        <v>541</v>
      </c>
      <c r="N4" s="658" t="s">
        <v>542</v>
      </c>
      <c r="O4" s="657" t="s">
        <v>543</v>
      </c>
      <c r="P4"/>
    </row>
    <row r="5" spans="1:16" ht="15.75" thickBot="1">
      <c r="A5" s="527"/>
      <c r="B5" s="590" t="s">
        <v>551</v>
      </c>
      <c r="C5" s="591" t="s">
        <v>550</v>
      </c>
      <c r="D5" s="592">
        <v>375000000</v>
      </c>
      <c r="E5" s="593" t="s">
        <v>274</v>
      </c>
      <c r="F5" s="623">
        <f>+'Page 7'!M41</f>
        <v>6.0000000000000001E-3</v>
      </c>
      <c r="G5" s="624">
        <v>1.37E-2</v>
      </c>
      <c r="H5" s="625">
        <v>399583.33333333331</v>
      </c>
      <c r="I5" s="625">
        <v>0</v>
      </c>
      <c r="J5" s="626">
        <v>256814135.05000001</v>
      </c>
      <c r="K5" s="625" t="s">
        <v>296</v>
      </c>
      <c r="L5" s="627">
        <v>3.5699999999999998E-3</v>
      </c>
      <c r="M5" s="627">
        <v>7.1362999999999999E-3</v>
      </c>
      <c r="N5" s="626">
        <v>0</v>
      </c>
      <c r="O5" s="625">
        <v>0</v>
      </c>
      <c r="P5"/>
    </row>
    <row r="6" spans="1:16" ht="15">
      <c r="A6" s="527"/>
      <c r="G6" s="601"/>
      <c r="M6" s="601"/>
      <c r="P6"/>
    </row>
    <row r="7" spans="1:16" ht="15">
      <c r="A7" s="527"/>
      <c r="P7"/>
    </row>
    <row r="8" spans="1:16" ht="15">
      <c r="A8" s="8"/>
      <c r="M8" s="601"/>
      <c r="N8" s="532"/>
      <c r="O8" s="532"/>
    </row>
    <row r="9" spans="1:16" ht="15.75" thickBot="1">
      <c r="A9" s="8"/>
      <c r="B9" s="594" t="s">
        <v>544</v>
      </c>
      <c r="C9" s="594"/>
      <c r="D9" s="595"/>
      <c r="E9" s="595"/>
      <c r="F9" s="595"/>
      <c r="G9" s="595"/>
      <c r="H9" s="595"/>
      <c r="I9" s="595"/>
      <c r="J9" s="595"/>
      <c r="K9" s="595"/>
      <c r="L9" s="595"/>
      <c r="M9" s="595"/>
      <c r="N9" s="595"/>
      <c r="O9" s="595"/>
    </row>
    <row r="10" spans="1:16" ht="15">
      <c r="A10" s="8"/>
      <c r="B10"/>
      <c r="C10"/>
      <c r="D10"/>
      <c r="E10"/>
      <c r="F10"/>
      <c r="G10"/>
      <c r="H10"/>
      <c r="I10"/>
      <c r="J10"/>
      <c r="K10"/>
      <c r="L10"/>
      <c r="M10"/>
      <c r="N10"/>
      <c r="O10"/>
    </row>
    <row r="11" spans="1:16" ht="15.75" thickBot="1">
      <c r="A11" s="8"/>
      <c r="B11"/>
      <c r="C11"/>
      <c r="D11"/>
      <c r="E11"/>
      <c r="F11"/>
      <c r="G11"/>
      <c r="H11"/>
      <c r="I11"/>
      <c r="J11" s="531"/>
      <c r="K11"/>
      <c r="L11"/>
      <c r="M11"/>
      <c r="N11" s="532"/>
      <c r="O11" s="532"/>
    </row>
    <row r="12" spans="1:16" ht="15.75" thickBot="1">
      <c r="A12" s="8"/>
      <c r="B12" s="533" t="s">
        <v>530</v>
      </c>
      <c r="C12" s="534" t="s">
        <v>545</v>
      </c>
      <c r="D12" s="535" t="s">
        <v>12</v>
      </c>
      <c r="E12" s="530"/>
      <c r="F12"/>
      <c r="G12"/>
      <c r="H12"/>
      <c r="I12"/>
      <c r="J12" s="531"/>
      <c r="K12"/>
      <c r="L12"/>
      <c r="M12"/>
      <c r="N12" s="532"/>
      <c r="O12" s="532"/>
    </row>
    <row r="13" spans="1:16" ht="15.75" thickBot="1">
      <c r="A13" s="8"/>
      <c r="B13" s="536"/>
      <c r="C13" s="537"/>
      <c r="D13" s="538"/>
      <c r="E13" s="530"/>
      <c r="F13"/>
      <c r="G13"/>
      <c r="H13"/>
      <c r="I13"/>
      <c r="J13"/>
      <c r="K13"/>
      <c r="L13"/>
      <c r="M13"/>
      <c r="N13" s="532"/>
      <c r="O13" s="532"/>
    </row>
    <row r="14" spans="1:16" ht="15">
      <c r="A14" s="8"/>
      <c r="B14" s="530" t="s">
        <v>567</v>
      </c>
      <c r="C14" s="530"/>
      <c r="D14"/>
      <c r="E14"/>
      <c r="F14"/>
      <c r="G14"/>
      <c r="H14"/>
      <c r="I14"/>
      <c r="J14"/>
      <c r="K14"/>
      <c r="L14"/>
      <c r="M14"/>
      <c r="N14" s="532"/>
      <c r="O14" s="532"/>
    </row>
    <row r="15" spans="1:16">
      <c r="A15" s="8"/>
    </row>
    <row r="16" spans="1:16" s="248" customFormat="1">
      <c r="A16" s="11"/>
      <c r="B16" s="53"/>
      <c r="C16" s="53"/>
      <c r="D16" s="53"/>
      <c r="E16" s="53"/>
      <c r="F16" s="53"/>
      <c r="G16" s="53"/>
      <c r="H16" s="53"/>
      <c r="I16" s="53"/>
      <c r="J16" s="53"/>
      <c r="K16" s="53"/>
      <c r="L16" s="53"/>
      <c r="M16" s="53"/>
      <c r="N16" s="53"/>
      <c r="O16" s="53"/>
    </row>
    <row r="17" spans="1:16" s="248" customFormat="1">
      <c r="A17" s="11"/>
      <c r="B17" s="53"/>
      <c r="C17" s="53"/>
      <c r="D17" s="53"/>
      <c r="E17" s="53"/>
      <c r="F17" s="53"/>
      <c r="G17" s="53"/>
      <c r="H17" s="53"/>
      <c r="I17" s="53"/>
      <c r="J17" s="53"/>
      <c r="K17" s="53"/>
      <c r="L17" s="53"/>
      <c r="M17" s="53"/>
      <c r="N17" s="53"/>
      <c r="O17" s="53"/>
    </row>
    <row r="18" spans="1:16" s="248" customFormat="1">
      <c r="A18" s="11"/>
      <c r="B18" s="53"/>
      <c r="C18" s="53"/>
      <c r="D18" s="53"/>
      <c r="E18" s="53"/>
      <c r="F18" s="53"/>
      <c r="G18" s="53"/>
      <c r="H18" s="53"/>
      <c r="I18" s="53"/>
      <c r="J18" s="53"/>
      <c r="K18" s="53"/>
      <c r="L18" s="53"/>
      <c r="M18" s="53"/>
      <c r="N18" s="53"/>
      <c r="O18" s="53"/>
    </row>
    <row r="19" spans="1:16" s="248" customFormat="1" ht="15">
      <c r="A19" s="11"/>
      <c r="B19" s="53"/>
      <c r="C19" s="155"/>
      <c r="D19" s="53"/>
      <c r="E19" s="53"/>
      <c r="F19" s="53"/>
      <c r="G19" s="53"/>
      <c r="H19" s="652"/>
      <c r="I19" s="53"/>
      <c r="J19" s="53"/>
      <c r="K19" s="53"/>
      <c r="L19" s="53"/>
      <c r="M19" s="53"/>
      <c r="N19" s="53"/>
      <c r="O19" s="53"/>
    </row>
    <row r="20" spans="1:16" s="248" customFormat="1" ht="15">
      <c r="A20" s="11"/>
      <c r="B20" s="53"/>
      <c r="C20" s="155"/>
      <c r="D20" s="53"/>
      <c r="E20" s="53"/>
      <c r="F20" s="53"/>
      <c r="G20" s="53"/>
      <c r="H20" s="53"/>
      <c r="I20" s="53"/>
      <c r="J20" s="53"/>
      <c r="K20" s="53"/>
      <c r="L20" s="53"/>
      <c r="M20" s="53"/>
      <c r="N20" s="53"/>
      <c r="O20" s="53"/>
    </row>
    <row r="21" spans="1:16" s="248" customFormat="1">
      <c r="A21" s="11"/>
      <c r="B21" s="53"/>
      <c r="C21" s="53"/>
      <c r="D21" s="53"/>
      <c r="E21" s="53"/>
      <c r="F21" s="53"/>
      <c r="G21" s="53"/>
      <c r="H21" s="53"/>
      <c r="I21" s="53"/>
      <c r="J21" s="53"/>
      <c r="K21" s="53"/>
      <c r="L21" s="53"/>
      <c r="M21" s="53"/>
      <c r="N21" s="53"/>
      <c r="O21" s="53"/>
    </row>
    <row r="22" spans="1:16" s="248" customFormat="1">
      <c r="A22" s="11"/>
      <c r="B22" s="53"/>
      <c r="C22" s="53"/>
      <c r="D22" s="53"/>
      <c r="E22" s="53"/>
      <c r="F22" s="53"/>
      <c r="G22" s="53"/>
      <c r="H22" s="53"/>
      <c r="I22" s="53"/>
      <c r="J22" s="53"/>
      <c r="K22" s="53"/>
      <c r="L22" s="53"/>
      <c r="M22" s="53"/>
      <c r="N22" s="53"/>
      <c r="O22" s="53"/>
    </row>
    <row r="23" spans="1:16" s="248" customFormat="1">
      <c r="A23" s="11"/>
      <c r="B23" s="53"/>
      <c r="C23" s="53"/>
      <c r="D23" s="53"/>
      <c r="E23" s="53"/>
      <c r="F23" s="53"/>
      <c r="G23" s="53"/>
      <c r="H23" s="53"/>
      <c r="I23" s="53"/>
      <c r="J23" s="53"/>
      <c r="K23" s="53"/>
      <c r="L23" s="53"/>
      <c r="M23" s="53"/>
      <c r="N23" s="53"/>
      <c r="O23" s="53"/>
    </row>
    <row r="24" spans="1:16" s="248" customFormat="1">
      <c r="A24" s="11"/>
      <c r="B24" s="53"/>
      <c r="C24" s="53"/>
      <c r="D24" s="53"/>
      <c r="E24" s="53"/>
      <c r="F24" s="53"/>
      <c r="G24" s="53"/>
      <c r="H24" s="53"/>
      <c r="I24" s="53"/>
      <c r="J24" s="53"/>
      <c r="K24" s="53"/>
      <c r="L24" s="53"/>
      <c r="M24" s="53"/>
      <c r="N24" s="53"/>
      <c r="O24" s="53"/>
    </row>
    <row r="25" spans="1:16" s="248" customFormat="1">
      <c r="A25" s="11"/>
      <c r="B25" s="53"/>
      <c r="C25" s="53"/>
      <c r="D25" s="53"/>
      <c r="E25" s="53"/>
      <c r="F25" s="53"/>
      <c r="G25" s="53"/>
      <c r="H25" s="53"/>
      <c r="I25" s="53"/>
      <c r="J25" s="53"/>
      <c r="K25" s="53"/>
      <c r="L25" s="53"/>
      <c r="M25" s="53"/>
      <c r="N25" s="53"/>
      <c r="O25" s="53"/>
    </row>
    <row r="26" spans="1:16" s="248" customFormat="1">
      <c r="A26" s="11"/>
      <c r="B26" s="53"/>
      <c r="C26" s="53"/>
      <c r="D26" s="53"/>
      <c r="E26" s="53"/>
      <c r="F26" s="53"/>
      <c r="G26" s="53"/>
      <c r="H26" s="53"/>
      <c r="I26" s="53"/>
      <c r="J26" s="53"/>
      <c r="K26" s="53"/>
      <c r="L26" s="53"/>
      <c r="M26" s="53"/>
      <c r="N26" s="53"/>
      <c r="O26" s="53"/>
    </row>
    <row r="27" spans="1:16">
      <c r="A27" s="8"/>
    </row>
    <row r="28" spans="1:16">
      <c r="A28" s="8"/>
    </row>
    <row r="29" spans="1:16">
      <c r="P29" s="235"/>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March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70" zoomScaleNormal="85" zoomScaleSheetLayoutView="85" zoomScalePageLayoutView="70"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4" t="s">
        <v>480</v>
      </c>
      <c r="C1" s="455"/>
    </row>
    <row r="2" spans="1:5">
      <c r="A2" s="32"/>
      <c r="B2" s="456" t="s">
        <v>481</v>
      </c>
      <c r="C2" s="607"/>
    </row>
    <row r="3" spans="1:5">
      <c r="A3" s="32"/>
      <c r="B3" s="457" t="s">
        <v>482</v>
      </c>
      <c r="C3" s="608" t="s">
        <v>483</v>
      </c>
    </row>
    <row r="4" spans="1:5">
      <c r="A4" s="32"/>
      <c r="B4" s="457"/>
      <c r="C4" s="608"/>
    </row>
    <row r="5" spans="1:5">
      <c r="A5" s="32"/>
      <c r="B5" s="409" t="s">
        <v>484</v>
      </c>
      <c r="C5" s="608"/>
    </row>
    <row r="6" spans="1:5">
      <c r="A6" s="32"/>
      <c r="B6" s="457" t="s">
        <v>485</v>
      </c>
      <c r="C6" s="608" t="s">
        <v>483</v>
      </c>
    </row>
    <row r="7" spans="1:5">
      <c r="A7" s="32"/>
      <c r="B7" s="457" t="s">
        <v>486</v>
      </c>
      <c r="C7" s="608" t="s">
        <v>483</v>
      </c>
    </row>
    <row r="8" spans="1:5">
      <c r="A8" s="32"/>
      <c r="B8" s="457" t="s">
        <v>487</v>
      </c>
      <c r="C8" s="608" t="s">
        <v>483</v>
      </c>
    </row>
    <row r="9" spans="1:5">
      <c r="A9" s="32"/>
      <c r="B9" s="457"/>
      <c r="C9" s="608"/>
    </row>
    <row r="10" spans="1:5">
      <c r="A10" s="32"/>
      <c r="B10" s="457"/>
      <c r="C10" s="608"/>
    </row>
    <row r="11" spans="1:5">
      <c r="A11" s="32"/>
      <c r="B11" s="409" t="s">
        <v>488</v>
      </c>
      <c r="C11" s="608"/>
    </row>
    <row r="12" spans="1:5">
      <c r="A12" s="32"/>
      <c r="B12" s="457"/>
      <c r="C12" s="608"/>
    </row>
    <row r="13" spans="1:5" ht="42" customHeight="1">
      <c r="A13" s="32"/>
      <c r="B13" s="458" t="s">
        <v>489</v>
      </c>
      <c r="C13" s="609" t="s">
        <v>483</v>
      </c>
    </row>
    <row r="14" spans="1:5" ht="48">
      <c r="A14" s="32"/>
      <c r="B14" s="459" t="s">
        <v>490</v>
      </c>
      <c r="C14" s="609" t="s">
        <v>483</v>
      </c>
      <c r="E14" s="470"/>
    </row>
    <row r="15" spans="1:5">
      <c r="A15" s="32"/>
      <c r="B15" s="457"/>
      <c r="C15" s="608"/>
    </row>
    <row r="16" spans="1:5" ht="12.75" thickBot="1">
      <c r="A16" s="32"/>
      <c r="B16" s="610" t="s">
        <v>491</v>
      </c>
      <c r="C16" s="611"/>
      <c r="E16" s="470"/>
    </row>
    <row r="17" spans="1:3">
      <c r="A17" s="39"/>
      <c r="B17" s="31"/>
      <c r="C17" s="453"/>
    </row>
    <row r="18" spans="1:3">
      <c r="A18" s="32"/>
      <c r="B18" s="460" t="s">
        <v>492</v>
      </c>
      <c r="C18" s="612"/>
    </row>
    <row r="19" spans="1:3">
      <c r="A19" s="461">
        <v>1</v>
      </c>
      <c r="B19" s="462" t="s">
        <v>493</v>
      </c>
      <c r="C19" s="612"/>
    </row>
    <row r="20" spans="1:3" ht="24">
      <c r="A20" s="463"/>
      <c r="B20" s="464" t="s">
        <v>494</v>
      </c>
      <c r="C20" s="612"/>
    </row>
    <row r="21" spans="1:3">
      <c r="A21" s="465">
        <v>2</v>
      </c>
      <c r="B21" s="466" t="s">
        <v>495</v>
      </c>
    </row>
    <row r="22" spans="1:3" ht="12" customHeight="1">
      <c r="A22" s="467"/>
      <c r="B22" s="726" t="s">
        <v>496</v>
      </c>
    </row>
    <row r="23" spans="1:3" ht="25.5" customHeight="1">
      <c r="A23" s="467"/>
      <c r="B23" s="726"/>
    </row>
    <row r="24" spans="1:3">
      <c r="A24" s="465">
        <v>3</v>
      </c>
      <c r="B24" s="466" t="s">
        <v>497</v>
      </c>
    </row>
    <row r="25" spans="1:3" ht="17.25" customHeight="1">
      <c r="A25" s="467"/>
      <c r="B25" s="468" t="s">
        <v>498</v>
      </c>
    </row>
    <row r="26" spans="1:3">
      <c r="A26" s="465">
        <v>4</v>
      </c>
      <c r="B26" s="467" t="s">
        <v>499</v>
      </c>
    </row>
    <row r="27" spans="1:3" ht="26.25" customHeight="1">
      <c r="A27" s="467"/>
      <c r="B27" s="587" t="s">
        <v>500</v>
      </c>
    </row>
    <row r="28" spans="1:3">
      <c r="A28" s="467">
        <v>5</v>
      </c>
      <c r="B28" s="469" t="s">
        <v>501</v>
      </c>
    </row>
    <row r="29" spans="1:3" ht="24.75" customHeight="1">
      <c r="A29" s="467"/>
      <c r="B29" s="587" t="s">
        <v>502</v>
      </c>
    </row>
    <row r="30" spans="1:3" ht="13.5" customHeight="1">
      <c r="A30" s="467">
        <v>6</v>
      </c>
      <c r="B30" s="469" t="s">
        <v>503</v>
      </c>
    </row>
    <row r="31" spans="1:3" ht="34.9" customHeight="1">
      <c r="A31" s="467"/>
      <c r="B31" s="468" t="s">
        <v>504</v>
      </c>
    </row>
    <row r="32" spans="1:3" ht="12" customHeight="1">
      <c r="A32" s="467">
        <v>7</v>
      </c>
      <c r="B32" s="469" t="s">
        <v>505</v>
      </c>
    </row>
    <row r="33" spans="1:3" ht="12" customHeight="1">
      <c r="A33" s="467"/>
      <c r="B33" s="468" t="s">
        <v>506</v>
      </c>
    </row>
    <row r="34" spans="1:3" ht="27" customHeight="1">
      <c r="A34" s="467">
        <v>8</v>
      </c>
      <c r="B34" s="469" t="s">
        <v>507</v>
      </c>
    </row>
    <row r="35" spans="1:3" ht="12" customHeight="1">
      <c r="A35" s="467"/>
      <c r="B35" s="468" t="s">
        <v>508</v>
      </c>
    </row>
    <row r="36" spans="1:3" ht="26.45" customHeight="1">
      <c r="A36" s="465">
        <v>9</v>
      </c>
      <c r="B36" s="613"/>
      <c r="C36" s="614"/>
    </row>
    <row r="37" spans="1:3" ht="8.4499999999999993" customHeight="1">
      <c r="A37" s="465"/>
      <c r="B37" s="422" t="s">
        <v>509</v>
      </c>
      <c r="C37" s="614"/>
    </row>
    <row r="38" spans="1:3">
      <c r="A38" s="465">
        <v>10</v>
      </c>
      <c r="B38" s="126" t="s">
        <v>82</v>
      </c>
    </row>
    <row r="39" spans="1:3">
      <c r="A39" s="465"/>
      <c r="B39" s="422" t="s">
        <v>510</v>
      </c>
    </row>
    <row r="40" spans="1:3">
      <c r="A40" s="465">
        <v>11</v>
      </c>
      <c r="B40" s="126" t="s">
        <v>83</v>
      </c>
    </row>
    <row r="41" spans="1:3">
      <c r="A41" s="465"/>
      <c r="B41" s="422" t="s">
        <v>511</v>
      </c>
    </row>
    <row r="42" spans="1:3">
      <c r="A42" s="465">
        <v>12</v>
      </c>
      <c r="B42" s="126" t="s">
        <v>84</v>
      </c>
    </row>
    <row r="43" spans="1:3">
      <c r="A43" s="465"/>
      <c r="B43" s="422" t="s">
        <v>512</v>
      </c>
    </row>
    <row r="44" spans="1:3">
      <c r="A44" s="465">
        <v>13</v>
      </c>
      <c r="B44" s="126" t="s">
        <v>85</v>
      </c>
    </row>
    <row r="45" spans="1:3">
      <c r="A45" s="465"/>
      <c r="B45" s="422" t="s">
        <v>513</v>
      </c>
    </row>
    <row r="46" spans="1:3">
      <c r="A46" s="465">
        <v>14</v>
      </c>
      <c r="B46" s="126" t="s">
        <v>514</v>
      </c>
    </row>
    <row r="47" spans="1:3" ht="48">
      <c r="B47" s="587" t="s">
        <v>549</v>
      </c>
    </row>
    <row r="48" spans="1:3" ht="52.5" customHeight="1">
      <c r="A48" s="465"/>
      <c r="B48" s="126"/>
    </row>
    <row r="49" spans="1:2">
      <c r="A49" s="465" t="s">
        <v>515</v>
      </c>
      <c r="B49" s="126" t="s">
        <v>516</v>
      </c>
    </row>
    <row r="50" spans="1:2" ht="60">
      <c r="A50" s="465"/>
      <c r="B50" s="606" t="s">
        <v>517</v>
      </c>
    </row>
    <row r="51" spans="1:2" s="617" customFormat="1" ht="11.25" customHeight="1">
      <c r="A51" s="615"/>
      <c r="B51" s="616"/>
    </row>
    <row r="52" spans="1:2">
      <c r="B52" s="126" t="s">
        <v>518</v>
      </c>
    </row>
    <row r="53" spans="1:2" s="617" customFormat="1" ht="8.25"/>
    <row r="54" spans="1:2">
      <c r="B54" s="8" t="s">
        <v>558</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March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70" zoomScaleSheetLayoutView="85" zoomScalePageLayoutView="70" workbookViewId="0">
      <selection activeCell="F18" sqref="F18"/>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9" t="s">
        <v>23</v>
      </c>
      <c r="C7" s="670" t="s">
        <v>24</v>
      </c>
      <c r="D7" s="670" t="s">
        <v>565</v>
      </c>
      <c r="E7" s="670" t="s">
        <v>25</v>
      </c>
      <c r="F7" s="71" t="s">
        <v>26</v>
      </c>
      <c r="G7" s="72" t="s">
        <v>27</v>
      </c>
    </row>
    <row r="8" spans="2:7">
      <c r="B8" s="669"/>
      <c r="C8" s="670"/>
      <c r="D8" s="670"/>
      <c r="E8" s="670"/>
      <c r="F8" s="71" t="s">
        <v>28</v>
      </c>
      <c r="G8" s="72" t="s">
        <v>29</v>
      </c>
    </row>
    <row r="9" spans="2:7">
      <c r="B9" s="669"/>
      <c r="C9" s="670"/>
      <c r="D9" s="670"/>
      <c r="E9" s="670"/>
      <c r="F9" s="71" t="s">
        <v>30</v>
      </c>
      <c r="G9" s="72" t="s">
        <v>31</v>
      </c>
    </row>
    <row r="10" spans="2:7">
      <c r="B10" s="669"/>
      <c r="C10" s="670"/>
      <c r="D10" s="670"/>
      <c r="E10" s="670"/>
      <c r="F10" s="71" t="s">
        <v>32</v>
      </c>
      <c r="G10" s="72" t="s">
        <v>33</v>
      </c>
    </row>
    <row r="11" spans="2:7">
      <c r="B11" s="669"/>
      <c r="C11" s="670"/>
      <c r="D11" s="670"/>
      <c r="E11" s="670"/>
      <c r="F11" s="71" t="s">
        <v>34</v>
      </c>
      <c r="G11" s="72" t="s">
        <v>35</v>
      </c>
    </row>
    <row r="12" spans="2:7" ht="24">
      <c r="B12" s="669"/>
      <c r="C12" s="670"/>
      <c r="D12" s="670"/>
      <c r="E12" s="670"/>
      <c r="F12" s="71" t="s">
        <v>26</v>
      </c>
      <c r="G12" s="72" t="s">
        <v>36</v>
      </c>
    </row>
    <row r="13" spans="2:7">
      <c r="B13" s="669"/>
      <c r="C13" s="670"/>
      <c r="D13" s="670"/>
      <c r="E13" s="670"/>
      <c r="F13" s="71" t="s">
        <v>37</v>
      </c>
      <c r="G13" s="72" t="s">
        <v>38</v>
      </c>
    </row>
    <row r="14" spans="2:7">
      <c r="B14" s="669"/>
      <c r="C14" s="670"/>
      <c r="D14" s="670"/>
      <c r="E14" s="670"/>
      <c r="F14" s="71" t="s">
        <v>39</v>
      </c>
      <c r="G14" s="72" t="s">
        <v>40</v>
      </c>
    </row>
    <row r="15" spans="2:7" ht="24">
      <c r="B15" s="59" t="s">
        <v>41</v>
      </c>
      <c r="C15" s="73" t="s">
        <v>24</v>
      </c>
      <c r="D15" s="73" t="s">
        <v>565</v>
      </c>
      <c r="E15" s="73" t="s">
        <v>25</v>
      </c>
      <c r="F15" s="74" t="s">
        <v>25</v>
      </c>
      <c r="G15" s="75" t="s">
        <v>42</v>
      </c>
    </row>
    <row r="16" spans="2:7">
      <c r="B16" s="578" t="s">
        <v>43</v>
      </c>
      <c r="C16" s="65" t="s">
        <v>24</v>
      </c>
      <c r="D16" s="65" t="s">
        <v>565</v>
      </c>
      <c r="E16" s="65" t="s">
        <v>25</v>
      </c>
      <c r="F16" s="76"/>
      <c r="G16" s="72"/>
    </row>
    <row r="17" spans="2:7" ht="13.5" customHeight="1">
      <c r="B17" s="59" t="s">
        <v>44</v>
      </c>
      <c r="C17" s="73" t="s">
        <v>24</v>
      </c>
      <c r="D17" s="73" t="s">
        <v>565</v>
      </c>
      <c r="E17" s="73" t="s">
        <v>25</v>
      </c>
      <c r="F17" s="74"/>
      <c r="G17" s="75"/>
    </row>
    <row r="18" spans="2:7" ht="96.75" customHeight="1">
      <c r="B18" s="578" t="s">
        <v>45</v>
      </c>
      <c r="C18" s="65" t="s">
        <v>46</v>
      </c>
      <c r="D18" s="65" t="s">
        <v>566</v>
      </c>
      <c r="E18" s="65" t="s">
        <v>47</v>
      </c>
      <c r="F18" s="77" t="s">
        <v>48</v>
      </c>
      <c r="G18" s="72" t="s">
        <v>49</v>
      </c>
    </row>
    <row r="19" spans="2:7">
      <c r="B19" s="671" t="s">
        <v>50</v>
      </c>
      <c r="C19" s="672" t="s">
        <v>24</v>
      </c>
      <c r="D19" s="672" t="s">
        <v>565</v>
      </c>
      <c r="E19" s="672" t="s">
        <v>25</v>
      </c>
      <c r="F19" s="78"/>
      <c r="G19" s="70"/>
    </row>
    <row r="20" spans="2:7" ht="126" customHeight="1">
      <c r="B20" s="671"/>
      <c r="C20" s="672"/>
      <c r="D20" s="672"/>
      <c r="E20" s="672"/>
      <c r="F20" s="78" t="s">
        <v>48</v>
      </c>
      <c r="G20" s="70" t="s">
        <v>51</v>
      </c>
    </row>
    <row r="21" spans="2:7" ht="133.5" customHeight="1">
      <c r="B21" s="673" t="s">
        <v>52</v>
      </c>
      <c r="C21" s="670" t="s">
        <v>24</v>
      </c>
      <c r="D21" s="670" t="s">
        <v>565</v>
      </c>
      <c r="E21" s="670" t="s">
        <v>25</v>
      </c>
      <c r="F21" s="71" t="s">
        <v>53</v>
      </c>
      <c r="G21" s="72" t="s">
        <v>54</v>
      </c>
    </row>
    <row r="22" spans="2:7" ht="103.5" customHeight="1">
      <c r="B22" s="673"/>
      <c r="C22" s="670"/>
      <c r="D22" s="670"/>
      <c r="E22" s="670"/>
      <c r="F22" s="71" t="s">
        <v>48</v>
      </c>
      <c r="G22" s="72" t="s">
        <v>55</v>
      </c>
    </row>
    <row r="23" spans="2:7" ht="123" customHeight="1">
      <c r="B23" s="673"/>
      <c r="C23" s="670"/>
      <c r="D23" s="670"/>
      <c r="E23" s="670"/>
      <c r="F23" s="71" t="s">
        <v>56</v>
      </c>
      <c r="G23" s="72" t="s">
        <v>57</v>
      </c>
    </row>
    <row r="24" spans="2:7" s="81" customFormat="1" ht="96" customHeight="1">
      <c r="B24" s="579" t="s">
        <v>58</v>
      </c>
      <c r="C24" s="68" t="s">
        <v>24</v>
      </c>
      <c r="D24" s="68" t="s">
        <v>565</v>
      </c>
      <c r="E24" s="68" t="s">
        <v>25</v>
      </c>
      <c r="F24" s="80" t="s">
        <v>59</v>
      </c>
      <c r="G24" s="70" t="s">
        <v>60</v>
      </c>
    </row>
    <row r="25" spans="2:7" ht="24">
      <c r="B25" s="669" t="s">
        <v>61</v>
      </c>
      <c r="C25" s="670" t="s">
        <v>24</v>
      </c>
      <c r="D25" s="670" t="s">
        <v>565</v>
      </c>
      <c r="E25" s="670" t="s">
        <v>25</v>
      </c>
      <c r="F25" s="71" t="s">
        <v>62</v>
      </c>
      <c r="G25" s="72" t="s">
        <v>63</v>
      </c>
    </row>
    <row r="26" spans="2:7" ht="24">
      <c r="B26" s="669"/>
      <c r="C26" s="670"/>
      <c r="D26" s="670"/>
      <c r="E26" s="670"/>
      <c r="F26" s="71" t="s">
        <v>64</v>
      </c>
      <c r="G26" s="72" t="s">
        <v>65</v>
      </c>
    </row>
    <row r="27" spans="2:7" ht="36" customHeight="1">
      <c r="B27" s="674" t="s">
        <v>66</v>
      </c>
      <c r="C27" s="672" t="s">
        <v>67</v>
      </c>
      <c r="D27" s="672" t="s">
        <v>565</v>
      </c>
      <c r="E27" s="672" t="s">
        <v>25</v>
      </c>
      <c r="F27" s="80" t="s">
        <v>68</v>
      </c>
      <c r="G27" s="70" t="s">
        <v>69</v>
      </c>
    </row>
    <row r="28" spans="2:7" ht="52.5" customHeight="1">
      <c r="B28" s="674"/>
      <c r="C28" s="672"/>
      <c r="D28" s="672"/>
      <c r="E28" s="672"/>
      <c r="F28" s="78" t="s">
        <v>64</v>
      </c>
      <c r="G28" s="70" t="s">
        <v>70</v>
      </c>
    </row>
    <row r="29" spans="2:7" ht="22.5" customHeight="1">
      <c r="B29" s="64" t="s">
        <v>71</v>
      </c>
      <c r="C29" s="65" t="s">
        <v>46</v>
      </c>
      <c r="D29" s="65" t="s">
        <v>566</v>
      </c>
      <c r="E29" s="65" t="s">
        <v>47</v>
      </c>
      <c r="F29" s="82"/>
      <c r="G29" s="72"/>
    </row>
    <row r="30" spans="2:7" ht="28.5" customHeight="1">
      <c r="B30" s="79" t="s">
        <v>72</v>
      </c>
      <c r="C30" s="68" t="s">
        <v>73</v>
      </c>
      <c r="D30" s="68"/>
      <c r="E30" s="68"/>
      <c r="F30" s="80"/>
      <c r="G30" s="70"/>
    </row>
    <row r="31" spans="2:7" ht="33" customHeight="1" thickBot="1">
      <c r="B31" s="83" t="s">
        <v>74</v>
      </c>
      <c r="C31" s="84" t="s">
        <v>46</v>
      </c>
      <c r="D31" s="85"/>
      <c r="E31" s="85"/>
      <c r="F31" s="86"/>
      <c r="G31" s="87"/>
    </row>
    <row r="32" spans="2:7" ht="19.5" customHeight="1">
      <c r="B32" s="675" t="s">
        <v>75</v>
      </c>
      <c r="C32" s="675"/>
      <c r="D32" s="675"/>
      <c r="E32" s="675"/>
      <c r="F32" s="675"/>
      <c r="G32" s="675"/>
    </row>
    <row r="33" spans="2:7">
      <c r="B33" s="676"/>
      <c r="C33" s="676"/>
      <c r="D33" s="676"/>
      <c r="E33" s="676"/>
      <c r="F33" s="676"/>
      <c r="G33" s="676"/>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March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S74"/>
  <sheetViews>
    <sheetView view="pageLayout" zoomScale="85" zoomScaleNormal="85" zoomScaleSheetLayoutView="75" zoomScalePageLayoutView="85" workbookViewId="0">
      <selection activeCell="N63" sqref="N62:N63"/>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8" width="9.140625" style="8"/>
    <col min="19" max="19" width="20.5703125" style="8" customWidth="1"/>
    <col min="20" max="16384" width="9.140625" style="8"/>
  </cols>
  <sheetData>
    <row r="1" spans="2:19">
      <c r="L1" s="470"/>
    </row>
    <row r="2" spans="2:19" ht="12.75" thickBot="1">
      <c r="B2" s="89" t="s">
        <v>76</v>
      </c>
      <c r="C2" s="89"/>
      <c r="D2" s="89"/>
      <c r="E2" s="89"/>
      <c r="F2" s="89"/>
      <c r="G2" s="89"/>
      <c r="H2" s="89"/>
      <c r="I2" s="89"/>
      <c r="J2" s="89"/>
      <c r="K2" s="89"/>
      <c r="L2" s="89"/>
      <c r="M2" s="89"/>
      <c r="N2" s="89"/>
      <c r="R2" s="11"/>
      <c r="S2" s="663"/>
    </row>
    <row r="3" spans="2:19" ht="13.5" thickBot="1">
      <c r="S3" s="547"/>
    </row>
    <row r="4" spans="2:19" ht="12.75">
      <c r="B4" s="90" t="s">
        <v>77</v>
      </c>
      <c r="C4" s="91"/>
      <c r="D4" s="92"/>
      <c r="E4" s="92"/>
      <c r="F4" s="93"/>
      <c r="J4" s="94" t="s">
        <v>78</v>
      </c>
      <c r="K4" s="95"/>
      <c r="L4" s="96"/>
      <c r="M4" s="97"/>
      <c r="N4" s="98"/>
      <c r="S4" s="547"/>
    </row>
    <row r="5" spans="2:19" ht="13.5" thickBot="1">
      <c r="B5" s="99"/>
      <c r="C5" s="100"/>
      <c r="D5" s="100"/>
      <c r="E5" s="100"/>
      <c r="F5" s="101"/>
      <c r="H5" s="470"/>
      <c r="J5" s="102"/>
      <c r="K5" s="103"/>
      <c r="L5" s="104"/>
      <c r="M5" s="105"/>
      <c r="N5" s="106"/>
      <c r="S5" s="547"/>
    </row>
    <row r="6" spans="2:19" ht="12.75">
      <c r="B6" s="107" t="s">
        <v>79</v>
      </c>
      <c r="C6" s="108"/>
      <c r="D6" s="109"/>
      <c r="E6" s="110"/>
      <c r="F6" s="481">
        <v>115191</v>
      </c>
      <c r="H6" s="111"/>
      <c r="J6" s="112" t="str">
        <f>"Current value of Mortgage Loans in Pool at"&amp;" "&amp;TEXT(EOMONTH('Page 1'!E15,-1)+1,"dd mmmm yyyy")</f>
        <v>Current value of Mortgage Loans in Pool at 01 March 2017</v>
      </c>
      <c r="K6" s="113"/>
      <c r="L6" s="114"/>
      <c r="M6" s="554"/>
      <c r="N6" s="123">
        <v>5374894350.5699997</v>
      </c>
      <c r="S6" s="547"/>
    </row>
    <row r="7" spans="2:19" ht="13.5" thickBot="1">
      <c r="B7" s="115" t="s">
        <v>80</v>
      </c>
      <c r="C7" s="116"/>
      <c r="D7" s="117"/>
      <c r="E7" s="118"/>
      <c r="F7" s="482">
        <v>6399214137.6800003</v>
      </c>
      <c r="J7" s="555" t="str">
        <f>"Last months Closing Trust Assets at"&amp;" "&amp;TEXT(EOMONTH('Page 1'!E15,-2)+1,"dd mmmm yyyy")</f>
        <v>Last months Closing Trust Assets at 01 February 2017</v>
      </c>
      <c r="K7" s="119"/>
      <c r="L7" s="120"/>
      <c r="M7" s="121"/>
      <c r="N7" s="122">
        <v>5471493122.8400002</v>
      </c>
      <c r="S7" s="547"/>
    </row>
    <row r="8" spans="2:19" ht="12.75">
      <c r="B8" s="107" t="str">
        <f>"Current number of Mortgage Loans in Pool at"&amp;" "&amp;TEXT('Page 1'!E15,"dd-mmmm-yyyy")</f>
        <v>Current number of Mortgage Loans in Pool at 31-March-2017</v>
      </c>
      <c r="C8" s="108"/>
      <c r="D8" s="109"/>
      <c r="E8" s="110"/>
      <c r="F8" s="484">
        <f>D39</f>
        <v>58605</v>
      </c>
      <c r="G8" s="53"/>
      <c r="J8" s="112" t="str">
        <f>"Mortgage collections - Interest on"&amp;" "&amp;TEXT(EOMONTH('Page 1'!E15,-1)+1,"dd mmmmyyyy")</f>
        <v>Mortgage collections - Interest on 01 March2017</v>
      </c>
      <c r="K8" s="113"/>
      <c r="L8" s="114"/>
      <c r="M8" s="113"/>
      <c r="N8" s="123">
        <v>13018896.5</v>
      </c>
      <c r="S8" s="547"/>
    </row>
    <row r="9" spans="2:19" ht="12.75">
      <c r="B9" s="124" t="str">
        <f>"Current £ value of Mortgage Loans in Pool at"&amp;" "&amp;TEXT('Page 1'!E15,"dd-mmmm-yyyy")</f>
        <v>Current £ value of Mortgage Loans in Pool at 31-March-2017</v>
      </c>
      <c r="C9" s="125"/>
      <c r="D9" s="126"/>
      <c r="E9" s="127"/>
      <c r="F9" s="485">
        <f>E39</f>
        <v>5268647953.8100004</v>
      </c>
      <c r="G9" s="53"/>
      <c r="J9" s="128" t="str">
        <f>"Mortgage collections - Principal (Scheduled) on"&amp;" "&amp;TEXT(EOMONTH('Page 1'!E15,-1)+1,"dd mmmm yyyy")</f>
        <v>Mortgage collections - Principal (Scheduled) on 01 March 2017</v>
      </c>
      <c r="K9" s="113"/>
      <c r="L9" s="114"/>
      <c r="M9" s="113"/>
      <c r="N9" s="619">
        <v>32236446.130001068</v>
      </c>
      <c r="S9" s="547"/>
    </row>
    <row r="10" spans="2:19" ht="13.5" thickBot="1">
      <c r="B10" s="115" t="str">
        <f>"Weighted Average Yield on"&amp;" "&amp;TEXT('Page 1'!E17,"dd-mmmm-yyyy")</f>
        <v>Weighted Average Yield on 08-March-2017</v>
      </c>
      <c r="C10" s="116"/>
      <c r="D10" s="117"/>
      <c r="E10" s="129"/>
      <c r="F10" s="597">
        <v>2.8929499492708066E-2</v>
      </c>
      <c r="J10" s="128" t="str">
        <f>"Mortgage collections - Principal (Unscheduled) on"&amp;" "&amp;TEXT(EOMONTH('Page 1'!E15,-1)+1,"dd mmmm yyyy")</f>
        <v>Mortgage collections - Principal (Unscheduled) on 01 March 2017</v>
      </c>
      <c r="K10" s="113"/>
      <c r="L10" s="114"/>
      <c r="M10" s="113"/>
      <c r="N10" s="620">
        <f>+('Page 9'!C21+'Page 9'!C24)-'Page 3'!N9</f>
        <v>64185654.289998934</v>
      </c>
      <c r="R10" s="547"/>
      <c r="S10" s="547"/>
    </row>
    <row r="11" spans="2:19" ht="12.75" thickBot="1">
      <c r="F11" s="130"/>
      <c r="J11" s="131" t="str">
        <f>"Principal Ledger as calculated on"&amp;" "&amp;TEXT('Page 1'!E17,"dd mmmm yyyy")</f>
        <v>Principal Ledger as calculated on 08 March 2017</v>
      </c>
      <c r="K11" s="119"/>
      <c r="L11" s="120"/>
      <c r="M11" s="121"/>
      <c r="N11" s="122">
        <f>+'Page 8'!C48</f>
        <v>184596329.18000001</v>
      </c>
      <c r="S11" s="491"/>
    </row>
    <row r="12" spans="2:19">
      <c r="B12" s="125"/>
      <c r="C12" s="125"/>
      <c r="D12" s="126"/>
      <c r="E12" s="126"/>
      <c r="F12" s="551"/>
      <c r="H12" s="111"/>
      <c r="J12" s="112" t="str">
        <f>"Funding Share as calculated on"&amp;" "&amp;TEXT(EOMONTH('Page 1'!E15,-1),"dd mmmm yyyy")</f>
        <v>Funding Share as calculated on 28 February 2017</v>
      </c>
      <c r="K12" s="113"/>
      <c r="L12" s="114"/>
      <c r="M12" s="133"/>
      <c r="N12" s="123">
        <v>2885679402.7399979</v>
      </c>
    </row>
    <row r="13" spans="2:19">
      <c r="B13" s="134"/>
      <c r="C13" s="134"/>
      <c r="D13" s="135"/>
      <c r="E13" s="126"/>
      <c r="F13" s="552"/>
      <c r="H13" s="471"/>
      <c r="J13" s="128" t="str">
        <f>"Funding Share % as calculated on"&amp;" "&amp;TEXT(EOMONTH('Page 1'!E15,-1),"dd mmmm yyyy")</f>
        <v>Funding Share % as calculated on 28 February 2017</v>
      </c>
      <c r="K13" s="113"/>
      <c r="L13" s="114"/>
      <c r="M13" s="133"/>
      <c r="N13" s="136">
        <v>0.5274025</v>
      </c>
    </row>
    <row r="14" spans="2:19">
      <c r="B14" s="125"/>
      <c r="C14" s="134"/>
      <c r="D14" s="137"/>
      <c r="E14" s="137"/>
      <c r="F14" s="132"/>
      <c r="J14" s="128" t="str">
        <f>"Seller Share as calculated on"&amp;" "&amp;TEXT(EOMONTH('Page 1'!E15,-1),"dd mmmm yyyy")</f>
        <v>Seller Share as calculated on 28 February 2017</v>
      </c>
      <c r="K14" s="113"/>
      <c r="L14" s="114"/>
      <c r="M14" s="133"/>
      <c r="N14" s="142">
        <v>2585813720.1000023</v>
      </c>
    </row>
    <row r="15" spans="2:19">
      <c r="B15" s="125"/>
      <c r="C15" s="134"/>
      <c r="D15" s="137"/>
      <c r="E15" s="135"/>
      <c r="F15" s="550"/>
      <c r="J15" s="128" t="str">
        <f>"Seller Share % as calculated on"&amp;" "&amp;TEXT(EOMONTH('Page 1'!E15,-1),"dd mmmm yyyy")</f>
        <v>Seller Share % as calculated on 28 February 2017</v>
      </c>
      <c r="K15" s="113"/>
      <c r="L15" s="114"/>
      <c r="M15" s="133"/>
      <c r="N15" s="136">
        <v>0.4725975</v>
      </c>
    </row>
    <row r="16" spans="2:19">
      <c r="B16" s="125"/>
      <c r="C16" s="134"/>
      <c r="D16" s="137"/>
      <c r="E16" s="135"/>
      <c r="F16" s="138"/>
      <c r="J16" s="128" t="str">
        <f>"Minimum Seller Share (Amount)"&amp;" "&amp;TEXT(EOMONTH('Page 1'!E15,-1),"dd mmmm yyyy")</f>
        <v>Minimum Seller Share (Amount) 28 February 2017</v>
      </c>
      <c r="K16" s="113"/>
      <c r="L16" s="139"/>
      <c r="M16" s="140"/>
      <c r="N16" s="141"/>
    </row>
    <row r="17" spans="2:14" ht="12" customHeight="1">
      <c r="B17" s="125"/>
      <c r="C17" s="134"/>
      <c r="D17" s="135"/>
      <c r="E17" s="135"/>
      <c r="F17" s="132"/>
      <c r="J17" s="128" t="s">
        <v>81</v>
      </c>
      <c r="K17" s="126"/>
      <c r="L17" s="11"/>
      <c r="M17" s="140"/>
      <c r="N17" s="142">
        <v>245009247.16999999</v>
      </c>
    </row>
    <row r="18" spans="2:14" ht="12" customHeight="1">
      <c r="D18" s="143"/>
      <c r="E18" s="143"/>
      <c r="F18" s="125"/>
      <c r="G18" s="144"/>
      <c r="J18" s="128" t="s">
        <v>82</v>
      </c>
      <c r="K18" s="126"/>
      <c r="L18" s="145"/>
      <c r="M18" s="140"/>
      <c r="N18" s="142">
        <v>236495351.42507997</v>
      </c>
    </row>
    <row r="19" spans="2:14">
      <c r="C19" s="143"/>
      <c r="D19" s="143"/>
      <c r="E19" s="143"/>
      <c r="F19" s="144"/>
      <c r="J19" s="128" t="s">
        <v>83</v>
      </c>
      <c r="K19" s="126"/>
      <c r="L19" s="145"/>
      <c r="M19" s="140"/>
      <c r="N19" s="142">
        <v>200942108.45280004</v>
      </c>
    </row>
    <row r="20" spans="2:14">
      <c r="C20" s="143"/>
      <c r="D20" s="144"/>
      <c r="E20" s="143"/>
      <c r="F20" s="144"/>
      <c r="J20" s="128" t="s">
        <v>84</v>
      </c>
      <c r="K20" s="126"/>
      <c r="L20" s="145"/>
      <c r="M20" s="140"/>
      <c r="N20" s="142">
        <v>0</v>
      </c>
    </row>
    <row r="21" spans="2:14">
      <c r="B21" s="146"/>
      <c r="C21" s="143"/>
      <c r="D21" s="143"/>
      <c r="F21" s="144"/>
      <c r="G21" s="146"/>
      <c r="J21" s="128" t="s">
        <v>85</v>
      </c>
      <c r="K21" s="126"/>
      <c r="L21" s="145"/>
      <c r="M21" s="140"/>
      <c r="N21" s="142">
        <v>58747.49</v>
      </c>
    </row>
    <row r="22" spans="2:14">
      <c r="J22" s="128" t="s">
        <v>86</v>
      </c>
      <c r="K22" s="139"/>
      <c r="L22" s="11"/>
      <c r="M22" s="140"/>
      <c r="N22" s="142">
        <f>+SUM(N17:N21)</f>
        <v>682505454.53787994</v>
      </c>
    </row>
    <row r="23" spans="2:14" ht="12.75" thickBot="1">
      <c r="J23" s="147" t="str">
        <f>"Minimum Seller Share (% of Total) on"&amp;" "&amp;TEXT(EOMONTH('Page 1'!E15,-1)+1,"dd mmmm yyyy")</f>
        <v>Minimum Seller Share (% of Total) on 01 March 2017</v>
      </c>
      <c r="K23" s="148"/>
      <c r="L23" s="149"/>
      <c r="M23" s="150"/>
      <c r="N23" s="151">
        <v>0.12698025487059131</v>
      </c>
    </row>
    <row r="24" spans="2:14" ht="36" customHeight="1" thickBot="1">
      <c r="J24" s="679"/>
      <c r="K24" s="679"/>
      <c r="L24" s="679"/>
      <c r="M24" s="679"/>
      <c r="N24" s="679"/>
    </row>
    <row r="25" spans="2:14" ht="24.75" thickBot="1">
      <c r="B25" s="677" t="str">
        <f>"Arrears Analysis of Non Repossessed Mortgage Loans at"&amp;" "&amp;TEXT('Page 1'!E15,"dd mmmm yyyy")</f>
        <v>Arrears Analysis of Non Repossessed Mortgage Loans at 31 March 2017</v>
      </c>
      <c r="C25" s="678"/>
      <c r="D25" s="152" t="s">
        <v>87</v>
      </c>
      <c r="E25" s="153" t="s">
        <v>88</v>
      </c>
      <c r="F25" s="153" t="s">
        <v>89</v>
      </c>
      <c r="G25" s="153" t="s">
        <v>90</v>
      </c>
      <c r="H25" s="153" t="s">
        <v>91</v>
      </c>
      <c r="J25" s="154"/>
      <c r="K25" s="155"/>
      <c r="L25" s="156"/>
      <c r="M25" s="155"/>
    </row>
    <row r="26" spans="2:14" ht="15">
      <c r="B26" s="124" t="s">
        <v>92</v>
      </c>
      <c r="C26" s="140"/>
      <c r="D26" s="494">
        <v>58192</v>
      </c>
      <c r="E26" s="494">
        <v>5226722713.7200003</v>
      </c>
      <c r="F26" s="494">
        <v>0</v>
      </c>
      <c r="G26" s="510">
        <f>(D26/$D$39)*100</f>
        <v>99.295281972527931</v>
      </c>
      <c r="H26" s="644">
        <f>(E26/$E$39)*100</f>
        <v>99.204250493531603</v>
      </c>
      <c r="J26" s="158"/>
      <c r="K26" s="159"/>
      <c r="L26" s="155"/>
      <c r="M26" s="159"/>
      <c r="N26" s="643"/>
    </row>
    <row r="27" spans="2:14" ht="15">
      <c r="B27" s="124" t="s">
        <v>93</v>
      </c>
      <c r="C27" s="140"/>
      <c r="D27" s="494">
        <v>364</v>
      </c>
      <c r="E27" s="157">
        <v>37521089.549999997</v>
      </c>
      <c r="F27" s="494">
        <v>250358.55</v>
      </c>
      <c r="G27" s="510">
        <f t="shared" ref="G27:G38" si="0">(D27/$D$39)*100</f>
        <v>0.62110741404317038</v>
      </c>
      <c r="H27" s="645">
        <f t="shared" ref="H27:H38" si="1">(E27/$E$39)*100</f>
        <v>0.71215784161222584</v>
      </c>
      <c r="J27" s="137"/>
      <c r="K27" s="155"/>
      <c r="L27" s="159"/>
      <c r="M27" s="155"/>
      <c r="N27" s="491"/>
    </row>
    <row r="28" spans="2:14" ht="15">
      <c r="B28" s="124" t="s">
        <v>94</v>
      </c>
      <c r="C28" s="140"/>
      <c r="D28" s="494">
        <v>44</v>
      </c>
      <c r="E28" s="157">
        <v>4127197.41</v>
      </c>
      <c r="F28" s="494">
        <v>62466.86</v>
      </c>
      <c r="G28" s="510">
        <f t="shared" si="0"/>
        <v>7.5078918181042578E-2</v>
      </c>
      <c r="H28" s="645">
        <f t="shared" si="1"/>
        <v>7.833503863197834E-2</v>
      </c>
      <c r="J28" s="137"/>
      <c r="K28" s="492"/>
      <c r="L28" s="155"/>
      <c r="M28" s="159"/>
    </row>
    <row r="29" spans="2:14" ht="15">
      <c r="B29" s="124" t="s">
        <v>95</v>
      </c>
      <c r="C29" s="140"/>
      <c r="D29" s="494">
        <v>3</v>
      </c>
      <c r="E29" s="157">
        <v>221952.13</v>
      </c>
      <c r="F29" s="494">
        <v>3914.02</v>
      </c>
      <c r="G29" s="510">
        <f t="shared" si="0"/>
        <v>5.1190171487074483E-3</v>
      </c>
      <c r="H29" s="511">
        <f t="shared" si="1"/>
        <v>4.2126961593532981E-3</v>
      </c>
      <c r="J29" s="160"/>
      <c r="K29" s="492"/>
      <c r="L29" s="155"/>
      <c r="M29" s="155"/>
      <c r="N29" s="111"/>
    </row>
    <row r="30" spans="2:14" ht="15">
      <c r="B30" s="124" t="s">
        <v>96</v>
      </c>
      <c r="C30" s="140"/>
      <c r="D30" s="494">
        <v>2</v>
      </c>
      <c r="E30" s="157">
        <v>55001</v>
      </c>
      <c r="F30" s="494">
        <v>216.68</v>
      </c>
      <c r="G30" s="510">
        <f t="shared" si="0"/>
        <v>3.4126780991382984E-3</v>
      </c>
      <c r="H30" s="511">
        <f t="shared" si="1"/>
        <v>1.0439300648324066E-3</v>
      </c>
      <c r="J30" s="155"/>
      <c r="K30" s="492"/>
      <c r="L30" s="156"/>
      <c r="M30" s="155"/>
      <c r="N30" s="491"/>
    </row>
    <row r="31" spans="2:14" ht="15">
      <c r="B31" s="124" t="s">
        <v>97</v>
      </c>
      <c r="C31" s="140"/>
      <c r="D31" s="494">
        <v>0</v>
      </c>
      <c r="E31" s="157">
        <v>0</v>
      </c>
      <c r="F31" s="494">
        <v>0</v>
      </c>
      <c r="G31" s="510">
        <f t="shared" si="0"/>
        <v>0</v>
      </c>
      <c r="H31" s="511">
        <f t="shared" si="1"/>
        <v>0</v>
      </c>
      <c r="J31" s="161"/>
      <c r="K31" s="161"/>
      <c r="L31" s="161"/>
      <c r="M31" s="161"/>
      <c r="N31" s="491"/>
    </row>
    <row r="32" spans="2:14" ht="15">
      <c r="B32" s="124" t="s">
        <v>98</v>
      </c>
      <c r="C32" s="140"/>
      <c r="D32" s="494">
        <v>0</v>
      </c>
      <c r="E32" s="157">
        <v>0</v>
      </c>
      <c r="F32" s="494">
        <v>0</v>
      </c>
      <c r="G32" s="510">
        <f t="shared" si="0"/>
        <v>0</v>
      </c>
      <c r="H32" s="511">
        <f t="shared" si="1"/>
        <v>0</v>
      </c>
      <c r="J32" s="155"/>
      <c r="K32" s="155"/>
      <c r="L32" s="155"/>
      <c r="M32" s="155"/>
      <c r="N32" s="491"/>
    </row>
    <row r="33" spans="2:19" ht="15">
      <c r="B33" s="124" t="s">
        <v>99</v>
      </c>
      <c r="C33" s="140"/>
      <c r="D33" s="494">
        <v>0</v>
      </c>
      <c r="E33" s="157">
        <v>0</v>
      </c>
      <c r="F33" s="494">
        <v>0</v>
      </c>
      <c r="G33" s="510">
        <f t="shared" si="0"/>
        <v>0</v>
      </c>
      <c r="H33" s="511">
        <f t="shared" si="1"/>
        <v>0</v>
      </c>
      <c r="J33" s="155"/>
      <c r="K33" s="155"/>
      <c r="L33" s="155"/>
      <c r="M33" s="155"/>
      <c r="N33" s="491"/>
    </row>
    <row r="34" spans="2:19" ht="15">
      <c r="B34" s="124" t="s">
        <v>100</v>
      </c>
      <c r="C34" s="140"/>
      <c r="D34" s="494">
        <v>0</v>
      </c>
      <c r="E34" s="157">
        <v>0</v>
      </c>
      <c r="F34" s="494">
        <v>0</v>
      </c>
      <c r="G34" s="510">
        <f t="shared" si="0"/>
        <v>0</v>
      </c>
      <c r="H34" s="511">
        <f t="shared" si="1"/>
        <v>0</v>
      </c>
      <c r="J34" s="155"/>
      <c r="K34" s="155"/>
      <c r="L34" s="155"/>
      <c r="M34" s="155"/>
      <c r="N34" s="491"/>
    </row>
    <row r="35" spans="2:19" ht="15">
      <c r="B35" s="124" t="s">
        <v>101</v>
      </c>
      <c r="C35" s="140"/>
      <c r="D35" s="494">
        <v>0</v>
      </c>
      <c r="E35" s="157">
        <v>0</v>
      </c>
      <c r="F35" s="494">
        <v>0</v>
      </c>
      <c r="G35" s="510">
        <f t="shared" si="0"/>
        <v>0</v>
      </c>
      <c r="H35" s="511">
        <f t="shared" si="1"/>
        <v>0</v>
      </c>
      <c r="J35" s="155"/>
      <c r="K35" s="155"/>
      <c r="L35" s="155"/>
      <c r="M35" s="492"/>
    </row>
    <row r="36" spans="2:19" ht="15">
      <c r="B36" s="124" t="s">
        <v>102</v>
      </c>
      <c r="C36" s="140"/>
      <c r="D36" s="494">
        <v>0</v>
      </c>
      <c r="E36" s="157">
        <v>0</v>
      </c>
      <c r="F36" s="494">
        <v>0</v>
      </c>
      <c r="G36" s="510">
        <f t="shared" si="0"/>
        <v>0</v>
      </c>
      <c r="H36" s="511">
        <f t="shared" si="1"/>
        <v>0</v>
      </c>
      <c r="J36" s="155"/>
      <c r="K36" s="155"/>
      <c r="L36" s="155"/>
      <c r="M36" s="155"/>
    </row>
    <row r="37" spans="2:19" ht="15">
      <c r="B37" s="124" t="s">
        <v>103</v>
      </c>
      <c r="C37" s="140"/>
      <c r="D37" s="494">
        <v>0</v>
      </c>
      <c r="E37" s="157">
        <v>0</v>
      </c>
      <c r="F37" s="494">
        <v>0</v>
      </c>
      <c r="G37" s="510">
        <f t="shared" si="0"/>
        <v>0</v>
      </c>
      <c r="H37" s="511">
        <f t="shared" si="1"/>
        <v>0</v>
      </c>
      <c r="I37" s="163"/>
      <c r="J37" s="155"/>
      <c r="K37" s="155"/>
      <c r="L37" s="155"/>
      <c r="M37" s="155"/>
    </row>
    <row r="38" spans="2:19" ht="12.75" thickBot="1">
      <c r="B38" s="124" t="s">
        <v>104</v>
      </c>
      <c r="C38" s="162"/>
      <c r="D38" s="494">
        <v>0</v>
      </c>
      <c r="E38" s="157">
        <v>0</v>
      </c>
      <c r="F38" s="157">
        <v>0</v>
      </c>
      <c r="G38" s="510">
        <f t="shared" si="0"/>
        <v>0</v>
      </c>
      <c r="H38" s="511">
        <f t="shared" si="1"/>
        <v>0</v>
      </c>
      <c r="I38" s="163"/>
      <c r="J38" s="168"/>
      <c r="K38" s="168"/>
      <c r="L38" s="168"/>
      <c r="M38" s="168"/>
      <c r="N38" s="168"/>
      <c r="S38" s="168"/>
    </row>
    <row r="39" spans="2:19" s="168" customFormat="1" ht="12.75" thickBot="1">
      <c r="B39" s="164" t="s">
        <v>105</v>
      </c>
      <c r="C39" s="165"/>
      <c r="D39" s="166">
        <f>SUM(D26:D38)</f>
        <v>58605</v>
      </c>
      <c r="E39" s="166">
        <f>SUM(E26:E38)</f>
        <v>5268647953.8100004</v>
      </c>
      <c r="F39" s="166">
        <f>SUM(F26:F38)</f>
        <v>316956.11</v>
      </c>
      <c r="G39" s="167">
        <f>SUM(G26:G38)</f>
        <v>99.999999999999986</v>
      </c>
      <c r="H39" s="167">
        <f>SUM(H26:H38)</f>
        <v>100</v>
      </c>
      <c r="J39" s="8"/>
      <c r="K39" s="8"/>
      <c r="L39" s="8"/>
      <c r="M39" s="8"/>
      <c r="N39" s="8"/>
    </row>
    <row r="40" spans="2:19" s="168" customFormat="1" ht="12.75">
      <c r="B40" s="169"/>
      <c r="D40" s="547"/>
      <c r="E40" s="547"/>
      <c r="G40" s="488"/>
      <c r="J40" s="8"/>
      <c r="K40" s="8"/>
      <c r="L40" s="8"/>
      <c r="M40" s="8"/>
      <c r="N40" s="8"/>
      <c r="S40" s="8"/>
    </row>
    <row r="41" spans="2:19" ht="12.75" thickBot="1">
      <c r="G41" s="170"/>
      <c r="H41" s="171"/>
      <c r="I41" s="171"/>
    </row>
    <row r="42" spans="2:19" ht="12" customHeight="1">
      <c r="B42" s="90" t="str">
        <f>"Arrears Capitalised at"&amp;" "&amp;TEXT('Page 1'!E15,"dd mmmm yyyy")</f>
        <v>Arrears Capitalised at 31 March 2017</v>
      </c>
      <c r="C42" s="172"/>
      <c r="D42" s="173" t="s">
        <v>87</v>
      </c>
      <c r="E42" s="174" t="s">
        <v>106</v>
      </c>
      <c r="F42" s="174" t="s">
        <v>107</v>
      </c>
      <c r="G42" s="171"/>
      <c r="H42" s="559"/>
      <c r="I42" s="171"/>
    </row>
    <row r="43" spans="2:19" ht="12.75" thickBot="1">
      <c r="B43" s="175"/>
      <c r="C43" s="176"/>
      <c r="D43" s="177"/>
      <c r="E43" s="178" t="s">
        <v>108</v>
      </c>
      <c r="F43" s="178" t="s">
        <v>108</v>
      </c>
      <c r="G43" s="171"/>
      <c r="H43" s="559"/>
      <c r="I43" s="171"/>
    </row>
    <row r="44" spans="2:19">
      <c r="B44" s="107"/>
      <c r="C44" s="179"/>
      <c r="D44" s="180"/>
      <c r="E44" s="181"/>
      <c r="F44" s="181"/>
      <c r="G44" s="171"/>
      <c r="H44" s="560"/>
      <c r="I44" s="171"/>
    </row>
    <row r="45" spans="2:19">
      <c r="B45" s="124" t="s">
        <v>109</v>
      </c>
      <c r="C45" s="140"/>
      <c r="D45" s="640">
        <v>0</v>
      </c>
      <c r="E45" s="640">
        <v>0</v>
      </c>
      <c r="F45" s="640">
        <v>0</v>
      </c>
      <c r="G45" s="171"/>
      <c r="H45" s="171"/>
      <c r="I45" s="171"/>
      <c r="M45" s="182"/>
      <c r="N45" s="183"/>
    </row>
    <row r="46" spans="2:19">
      <c r="B46" s="124" t="s">
        <v>110</v>
      </c>
      <c r="C46" s="140"/>
      <c r="D46" s="640">
        <v>1129</v>
      </c>
      <c r="E46" s="640">
        <v>105635758.83000007</v>
      </c>
      <c r="F46" s="640">
        <v>1450666.4500000016</v>
      </c>
      <c r="G46" s="171"/>
      <c r="H46" s="171"/>
      <c r="I46" s="171"/>
      <c r="M46" s="182"/>
      <c r="N46" s="184"/>
    </row>
    <row r="47" spans="2:19" ht="12.75" thickBot="1">
      <c r="B47" s="115"/>
      <c r="C47" s="185"/>
      <c r="D47" s="186"/>
      <c r="E47" s="187"/>
      <c r="F47" s="187"/>
      <c r="G47" s="139"/>
      <c r="H47" s="139"/>
      <c r="I47" s="139"/>
      <c r="M47" s="182"/>
      <c r="N47" s="184"/>
    </row>
    <row r="48" spans="2:19" ht="27" customHeight="1">
      <c r="B48" s="680" t="s">
        <v>527</v>
      </c>
      <c r="C48" s="680"/>
      <c r="D48" s="680"/>
      <c r="E48" s="680"/>
      <c r="F48" s="680"/>
      <c r="G48" s="139"/>
      <c r="H48" s="139"/>
      <c r="I48" s="139"/>
      <c r="M48" s="182"/>
      <c r="N48" s="184"/>
    </row>
    <row r="49" spans="2:14" ht="12.75" thickBot="1">
      <c r="B49" s="125"/>
      <c r="C49" s="139"/>
      <c r="D49" s="188"/>
      <c r="E49" s="188"/>
      <c r="F49" s="189"/>
      <c r="G49" s="139"/>
      <c r="H49" s="139"/>
      <c r="I49" s="139"/>
      <c r="M49" s="182"/>
      <c r="N49" s="184"/>
    </row>
    <row r="50" spans="2:14" ht="12" customHeight="1">
      <c r="B50" s="681" t="str">
        <f>"Losses on Properties in Possession at "&amp;" "&amp;TEXT('Page 1'!E15,"dd mmmm yyyy")</f>
        <v>Losses on Properties in Possession at  31 March 2017</v>
      </c>
      <c r="C50" s="682"/>
      <c r="D50" s="173" t="s">
        <v>87</v>
      </c>
      <c r="E50" s="174" t="s">
        <v>111</v>
      </c>
      <c r="F50" s="189"/>
      <c r="G50" s="139"/>
      <c r="H50" s="139"/>
      <c r="I50" s="139"/>
      <c r="M50" s="190"/>
      <c r="N50" s="190"/>
    </row>
    <row r="51" spans="2:14" ht="12.75" thickBot="1">
      <c r="B51" s="683"/>
      <c r="C51" s="684"/>
      <c r="D51" s="177"/>
      <c r="E51" s="178" t="s">
        <v>108</v>
      </c>
      <c r="F51" s="189"/>
      <c r="G51" s="191"/>
      <c r="H51" s="191"/>
      <c r="I51" s="139"/>
    </row>
    <row r="52" spans="2:14" ht="12" customHeight="1">
      <c r="B52" s="192"/>
      <c r="C52" s="179"/>
      <c r="D52" s="193"/>
      <c r="E52" s="194"/>
      <c r="F52" s="189"/>
      <c r="G52" s="195"/>
      <c r="H52" s="139"/>
      <c r="I52" s="139"/>
    </row>
    <row r="53" spans="2:14">
      <c r="B53" s="124" t="s">
        <v>112</v>
      </c>
      <c r="C53" s="140"/>
      <c r="D53" s="212">
        <v>2234</v>
      </c>
      <c r="E53" s="212">
        <v>71745264.419999972</v>
      </c>
      <c r="F53" s="53"/>
      <c r="G53" s="191"/>
      <c r="H53" s="191"/>
      <c r="I53" s="139"/>
    </row>
    <row r="54" spans="2:14">
      <c r="B54" s="124" t="s">
        <v>113</v>
      </c>
      <c r="C54" s="140"/>
      <c r="D54" s="212">
        <v>0</v>
      </c>
      <c r="E54" s="212">
        <v>0</v>
      </c>
      <c r="F54" s="53"/>
      <c r="G54" s="139"/>
      <c r="H54" s="139"/>
      <c r="I54" s="139"/>
    </row>
    <row r="55" spans="2:14">
      <c r="B55" s="124" t="s">
        <v>114</v>
      </c>
      <c r="C55" s="140"/>
      <c r="D55" s="212">
        <v>2234</v>
      </c>
      <c r="E55" s="212">
        <v>71745264.419999972</v>
      </c>
      <c r="F55" s="53"/>
      <c r="G55" s="191"/>
      <c r="H55" s="191"/>
      <c r="I55" s="139"/>
    </row>
    <row r="56" spans="2:14">
      <c r="B56" s="124" t="s">
        <v>115</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116</v>
      </c>
      <c r="C58" s="200"/>
      <c r="D58" s="200"/>
      <c r="E58" s="200"/>
      <c r="F58" s="139"/>
      <c r="G58" s="139"/>
      <c r="H58" s="139"/>
      <c r="I58" s="139"/>
    </row>
    <row r="59" spans="2:14" ht="12.75" thickBot="1">
      <c r="F59" s="139"/>
      <c r="G59" s="139"/>
      <c r="H59" s="139"/>
      <c r="I59" s="139"/>
    </row>
    <row r="60" spans="2:14">
      <c r="B60" s="90" t="str">
        <f>"Properties in Possession at"&amp;" "&amp;TEXT('Page 1'!E15,"dd mmmm yyyy")</f>
        <v>Properties in Possession at 31 March 2017</v>
      </c>
      <c r="C60" s="172"/>
      <c r="D60" s="173" t="s">
        <v>87</v>
      </c>
      <c r="E60" s="174" t="s">
        <v>106</v>
      </c>
      <c r="F60" s="139"/>
      <c r="G60" s="139"/>
      <c r="H60" s="139"/>
      <c r="I60" s="139"/>
    </row>
    <row r="61" spans="2:14" ht="12.75" thickBot="1">
      <c r="B61" s="201"/>
      <c r="C61" s="202"/>
      <c r="D61" s="203"/>
      <c r="E61" s="203" t="s">
        <v>108</v>
      </c>
      <c r="F61" s="204"/>
      <c r="G61" s="139"/>
      <c r="H61" s="139"/>
      <c r="I61" s="139"/>
    </row>
    <row r="62" spans="2:14" ht="15">
      <c r="B62" s="205"/>
      <c r="C62" s="206"/>
      <c r="D62" s="207"/>
      <c r="E62" s="207"/>
      <c r="F62" s="208"/>
      <c r="G62" s="139"/>
      <c r="H62" s="139"/>
      <c r="I62" s="139"/>
    </row>
    <row r="63" spans="2:14" ht="12" customHeight="1">
      <c r="B63" s="209" t="s">
        <v>117</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118</v>
      </c>
      <c r="C65" s="140"/>
      <c r="D65" s="212">
        <v>0</v>
      </c>
      <c r="E65" s="212">
        <v>0</v>
      </c>
      <c r="F65" s="210"/>
      <c r="G65" s="139"/>
      <c r="H65" s="139"/>
      <c r="I65" s="139"/>
      <c r="J65" s="211"/>
      <c r="K65" s="211"/>
    </row>
    <row r="66" spans="2:11" ht="15">
      <c r="B66" s="124" t="s">
        <v>119</v>
      </c>
      <c r="C66" s="140"/>
      <c r="D66" s="212">
        <v>0</v>
      </c>
      <c r="E66" s="212">
        <v>0</v>
      </c>
      <c r="F66" s="210"/>
      <c r="G66" s="204"/>
      <c r="H66" s="139"/>
      <c r="I66" s="139"/>
      <c r="J66" s="211"/>
      <c r="K66" s="211"/>
    </row>
    <row r="67" spans="2:11" ht="15">
      <c r="B67" s="124" t="s">
        <v>120</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121</v>
      </c>
      <c r="C69" s="140"/>
      <c r="D69" s="212">
        <f>SUM(D63:D68)</f>
        <v>4539</v>
      </c>
      <c r="E69" s="212">
        <f>SUM(E63:E68)</f>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135" priority="36" stopIfTrue="1" operator="equal">
      <formula>" "</formula>
    </cfRule>
  </conditionalFormatting>
  <conditionalFormatting sqref="E39:H39">
    <cfRule type="cellIs" dxfId="134" priority="35" stopIfTrue="1" operator="equal">
      <formula>" "</formula>
    </cfRule>
  </conditionalFormatting>
  <conditionalFormatting sqref="R13">
    <cfRule type="cellIs" dxfId="133" priority="27" operator="equal">
      <formula>"CHECK"</formula>
    </cfRule>
    <cfRule type="cellIs" dxfId="132" priority="28" operator="equal">
      <formula>"OK"</formula>
    </cfRule>
  </conditionalFormatting>
  <conditionalFormatting sqref="R12">
    <cfRule type="cellIs" dxfId="131" priority="25" operator="equal">
      <formula>"CHECK"</formula>
    </cfRule>
    <cfRule type="cellIs" dxfId="130" priority="26" operator="equal">
      <formula>"OK"</formula>
    </cfRule>
  </conditionalFormatting>
  <conditionalFormatting sqref="R22">
    <cfRule type="cellIs" dxfId="129" priority="23" operator="equal">
      <formula>"CHECK"</formula>
    </cfRule>
    <cfRule type="cellIs" dxfId="128" priority="24" operator="equal">
      <formula>"OK"</formula>
    </cfRule>
  </conditionalFormatting>
  <conditionalFormatting sqref="E40">
    <cfRule type="cellIs" dxfId="127" priority="21" operator="equal">
      <formula>"OK"</formula>
    </cfRule>
    <cfRule type="cellIs" dxfId="126" priority="22" operator="equal">
      <formula>"CHECK"</formula>
    </cfRule>
  </conditionalFormatting>
  <conditionalFormatting sqref="D40">
    <cfRule type="cellIs" dxfId="125" priority="19" operator="equal">
      <formula>"OK"</formula>
    </cfRule>
    <cfRule type="cellIs" dxfId="124" priority="20" operator="equal">
      <formula>"CHECK"</formula>
    </cfRule>
  </conditionalFormatting>
  <conditionalFormatting sqref="R10">
    <cfRule type="cellIs" dxfId="123" priority="17" operator="equal">
      <formula>"OK"</formula>
    </cfRule>
    <cfRule type="cellIs" dxfId="122" priority="18" operator="equal">
      <formula>"CHECK"</formula>
    </cfRule>
  </conditionalFormatting>
  <conditionalFormatting sqref="S9">
    <cfRule type="cellIs" dxfId="121" priority="1" operator="equal">
      <formula>"OK"</formula>
    </cfRule>
    <cfRule type="cellIs" dxfId="120" priority="2" operator="equal">
      <formula>"CHECK"</formula>
    </cfRule>
  </conditionalFormatting>
  <conditionalFormatting sqref="S3">
    <cfRule type="cellIs" dxfId="119" priority="15" operator="equal">
      <formula>"OK"</formula>
    </cfRule>
    <cfRule type="cellIs" dxfId="118" priority="16" operator="equal">
      <formula>"CHECK"</formula>
    </cfRule>
  </conditionalFormatting>
  <conditionalFormatting sqref="S4">
    <cfRule type="cellIs" dxfId="117" priority="13" operator="equal">
      <formula>"OK"</formula>
    </cfRule>
    <cfRule type="cellIs" dxfId="116" priority="14" operator="equal">
      <formula>"CHECK"</formula>
    </cfRule>
  </conditionalFormatting>
  <conditionalFormatting sqref="S5">
    <cfRule type="cellIs" dxfId="115" priority="11" operator="equal">
      <formula>"OK"</formula>
    </cfRule>
    <cfRule type="cellIs" dxfId="114" priority="12" operator="equal">
      <formula>"CHECK"</formula>
    </cfRule>
  </conditionalFormatting>
  <conditionalFormatting sqref="S6">
    <cfRule type="cellIs" dxfId="113" priority="9" operator="equal">
      <formula>"OK"</formula>
    </cfRule>
    <cfRule type="cellIs" dxfId="112" priority="10" operator="equal">
      <formula>"CHECK"</formula>
    </cfRule>
  </conditionalFormatting>
  <conditionalFormatting sqref="S10">
    <cfRule type="cellIs" dxfId="111" priority="7" operator="equal">
      <formula>"OK"</formula>
    </cfRule>
    <cfRule type="cellIs" dxfId="110" priority="8" operator="equal">
      <formula>"CHECK"</formula>
    </cfRule>
  </conditionalFormatting>
  <conditionalFormatting sqref="S7">
    <cfRule type="cellIs" dxfId="109" priority="5" operator="equal">
      <formula>"OK"</formula>
    </cfRule>
    <cfRule type="cellIs" dxfId="108" priority="6" operator="equal">
      <formula>"CHECK"</formula>
    </cfRule>
  </conditionalFormatting>
  <conditionalFormatting sqref="S8">
    <cfRule type="cellIs" dxfId="107" priority="3" operator="equal">
      <formula>"OK"</formula>
    </cfRule>
    <cfRule type="cellIs" dxfId="106" priority="4"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March 2017</oddHeader>
    <oddFooter>&amp;C&amp;A</oddFooter>
  </headerFooter>
  <ignoredErrors>
    <ignoredError sqref="N2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5" zoomScaleNormal="70" zoomScaleSheetLayoutView="85" zoomScalePageLayoutView="85"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72" t="s">
        <v>122</v>
      </c>
      <c r="C2" s="172"/>
      <c r="D2" s="473" t="s">
        <v>87</v>
      </c>
      <c r="E2" s="174" t="s">
        <v>123</v>
      </c>
      <c r="F2" s="472" t="s">
        <v>124</v>
      </c>
      <c r="G2" s="174" t="s">
        <v>123</v>
      </c>
      <c r="I2" s="685" t="str">
        <f>"Substitution, redemptions and repurchases during period "&amp;TEXT(EOMONTH('Page 1'!E15,-2)+1,"dd mmmm yyyy")&amp;"- "&amp;TEXT(EOMONTH('Page 1'!E15,-1)+1,"dd mmmm yyyy")</f>
        <v>Substitution, redemptions and repurchases during period 01 February 2017- 01 March 2017</v>
      </c>
      <c r="J2" s="174" t="s">
        <v>125</v>
      </c>
      <c r="K2" s="174" t="s">
        <v>124</v>
      </c>
      <c r="L2" s="220"/>
      <c r="M2" s="221"/>
      <c r="N2" s="222"/>
      <c r="P2" s="547"/>
      <c r="Q2" s="547"/>
    </row>
    <row r="3" spans="2:18" ht="13.5" thickBot="1">
      <c r="B3" s="201" t="s">
        <v>126</v>
      </c>
      <c r="C3" s="202"/>
      <c r="D3" s="223" t="s">
        <v>127</v>
      </c>
      <c r="E3" s="203" t="s">
        <v>128</v>
      </c>
      <c r="F3" s="201" t="s">
        <v>108</v>
      </c>
      <c r="G3" s="203" t="s">
        <v>129</v>
      </c>
      <c r="I3" s="686"/>
      <c r="J3" s="224" t="s">
        <v>130</v>
      </c>
      <c r="K3" s="224" t="s">
        <v>130</v>
      </c>
      <c r="L3" s="584"/>
      <c r="M3" s="226"/>
      <c r="N3" s="222"/>
      <c r="P3" s="630"/>
      <c r="Q3" s="547"/>
      <c r="R3" s="547"/>
    </row>
    <row r="4" spans="2:18" ht="13.5" thickBot="1">
      <c r="B4" s="688" t="s">
        <v>131</v>
      </c>
      <c r="C4" s="689"/>
      <c r="D4" s="494">
        <v>194</v>
      </c>
      <c r="E4" s="539">
        <f>(D4/$D$9)*100</f>
        <v>0.331029775616415</v>
      </c>
      <c r="F4" s="494">
        <v>4704317.84</v>
      </c>
      <c r="G4" s="493">
        <f>(F4/$F$9)*100</f>
        <v>8.9288900705504382E-2</v>
      </c>
      <c r="I4" s="687"/>
      <c r="J4" s="227"/>
      <c r="K4" s="227" t="s">
        <v>108</v>
      </c>
      <c r="L4" s="225"/>
      <c r="M4" s="228"/>
      <c r="N4" s="222"/>
      <c r="P4" s="630"/>
      <c r="Q4" s="547"/>
      <c r="R4" s="547"/>
    </row>
    <row r="5" spans="2:18">
      <c r="B5" s="690" t="s">
        <v>132</v>
      </c>
      <c r="C5" s="691"/>
      <c r="D5" s="494">
        <v>3312</v>
      </c>
      <c r="E5" s="539">
        <f t="shared" ref="E5:E7" si="0">(D5/$D$9)*100</f>
        <v>5.651394932173023</v>
      </c>
      <c r="F5" s="494">
        <v>273077733.37</v>
      </c>
      <c r="G5" s="493">
        <f t="shared" ref="G5:G7" si="1">(F5/$F$9)*100</f>
        <v>5.183070415105739</v>
      </c>
      <c r="I5" s="475" t="s">
        <v>552</v>
      </c>
      <c r="J5" s="553">
        <v>0</v>
      </c>
      <c r="K5" s="553">
        <v>0</v>
      </c>
      <c r="L5" s="700"/>
      <c r="M5" s="700"/>
      <c r="N5" s="700"/>
      <c r="P5" s="630"/>
      <c r="Q5" s="547"/>
      <c r="R5" s="547"/>
    </row>
    <row r="6" spans="2:18">
      <c r="B6" s="690" t="s">
        <v>133</v>
      </c>
      <c r="C6" s="691"/>
      <c r="D6" s="494">
        <v>27511</v>
      </c>
      <c r="E6" s="539">
        <f t="shared" si="0"/>
        <v>46.943093592696869</v>
      </c>
      <c r="F6" s="494">
        <v>2681532554.3800001</v>
      </c>
      <c r="G6" s="493">
        <f t="shared" si="1"/>
        <v>50.896028314832861</v>
      </c>
      <c r="I6" s="476" t="s">
        <v>134</v>
      </c>
      <c r="J6" s="556">
        <v>768</v>
      </c>
      <c r="K6" s="556">
        <f>'Page 3'!N10-'Page 4'!K7</f>
        <v>32321286.399998918</v>
      </c>
      <c r="L6" s="700"/>
      <c r="M6" s="700"/>
      <c r="N6" s="700"/>
      <c r="P6" s="630"/>
      <c r="Q6" s="547"/>
      <c r="R6" s="547"/>
    </row>
    <row r="7" spans="2:18">
      <c r="B7" s="690" t="s">
        <v>135</v>
      </c>
      <c r="C7" s="691"/>
      <c r="D7" s="494">
        <v>27588</v>
      </c>
      <c r="E7" s="539">
        <f t="shared" si="0"/>
        <v>47.07448169951369</v>
      </c>
      <c r="F7" s="494">
        <v>2309333348.2200003</v>
      </c>
      <c r="G7" s="493">
        <f t="shared" si="1"/>
        <v>43.831612369355895</v>
      </c>
      <c r="I7" s="476" t="s">
        <v>136</v>
      </c>
      <c r="J7" s="556">
        <v>277</v>
      </c>
      <c r="K7" s="556">
        <v>31864367.890000015</v>
      </c>
      <c r="L7" s="700"/>
      <c r="M7" s="700"/>
      <c r="N7" s="700"/>
      <c r="P7" s="630"/>
      <c r="Q7" s="547"/>
      <c r="R7" s="547"/>
    </row>
    <row r="8" spans="2:18" ht="13.5" thickBot="1">
      <c r="B8" s="476" t="s">
        <v>137</v>
      </c>
      <c r="C8" s="477"/>
      <c r="D8" s="494">
        <v>0</v>
      </c>
      <c r="E8" s="539">
        <f t="shared" ref="E8" si="2">D8/$D$9</f>
        <v>0</v>
      </c>
      <c r="F8" s="495">
        <v>0</v>
      </c>
      <c r="G8" s="493">
        <v>0</v>
      </c>
      <c r="I8" s="476" t="s">
        <v>138</v>
      </c>
      <c r="J8" s="556">
        <v>19</v>
      </c>
      <c r="K8" s="556">
        <v>2447140.1</v>
      </c>
      <c r="L8" s="703"/>
      <c r="M8" s="703"/>
      <c r="N8" s="703"/>
    </row>
    <row r="9" spans="2:18" ht="13.5" thickBot="1">
      <c r="B9" s="704" t="s">
        <v>105</v>
      </c>
      <c r="C9" s="705"/>
      <c r="D9" s="229">
        <f>SUM(D4:D8)</f>
        <v>58605</v>
      </c>
      <c r="E9" s="540">
        <f>SUM(E4:E8)</f>
        <v>100</v>
      </c>
      <c r="F9" s="230">
        <f>SUM(F4:F7)</f>
        <v>5268647953.8100004</v>
      </c>
      <c r="G9" s="497">
        <f>SUM(G4:G7)</f>
        <v>100</v>
      </c>
      <c r="I9" s="231" t="s">
        <v>139</v>
      </c>
      <c r="J9" s="605">
        <v>7448</v>
      </c>
      <c r="K9" s="605">
        <v>819109923.32999992</v>
      </c>
      <c r="L9" s="703"/>
      <c r="M9" s="703"/>
      <c r="N9" s="703"/>
    </row>
    <row r="10" spans="2:18" ht="12.75" customHeight="1">
      <c r="B10" s="232"/>
      <c r="C10" s="108"/>
      <c r="D10" s="547"/>
      <c r="F10" s="547"/>
      <c r="G10" s="233"/>
      <c r="I10" s="699" t="s">
        <v>140</v>
      </c>
      <c r="J10" s="699"/>
      <c r="K10" s="699"/>
      <c r="L10" s="599"/>
      <c r="M10" s="234"/>
      <c r="N10" s="248"/>
    </row>
    <row r="11" spans="2:18" ht="26.25" customHeight="1" thickBot="1">
      <c r="I11" s="700"/>
      <c r="J11" s="700"/>
      <c r="K11" s="700"/>
      <c r="L11" s="234"/>
      <c r="M11" s="234"/>
      <c r="N11" s="222"/>
    </row>
    <row r="12" spans="2:18" ht="12.75" customHeight="1" thickBot="1">
      <c r="B12" s="236" t="s">
        <v>141</v>
      </c>
      <c r="C12" s="172"/>
      <c r="D12" s="473" t="s">
        <v>87</v>
      </c>
      <c r="E12" s="501" t="s">
        <v>123</v>
      </c>
      <c r="F12" s="483" t="s">
        <v>124</v>
      </c>
      <c r="G12" s="174" t="s">
        <v>123</v>
      </c>
      <c r="H12" s="238"/>
    </row>
    <row r="13" spans="2:18" ht="12.75" customHeight="1" thickBot="1">
      <c r="B13" s="175" t="s">
        <v>126</v>
      </c>
      <c r="C13" s="176"/>
      <c r="D13" s="223" t="s">
        <v>127</v>
      </c>
      <c r="E13" s="504" t="s">
        <v>128</v>
      </c>
      <c r="F13" s="201" t="s">
        <v>108</v>
      </c>
      <c r="G13" s="203" t="s">
        <v>129</v>
      </c>
      <c r="H13" s="239"/>
      <c r="I13" s="701" t="str">
        <f>"PPR/CPR Analysis* "&amp;TEXT(EOMONTH('Page 1'!E17,-2)+1,"dd mmmm yyyy")&amp;"- "&amp;TEXT(EOMONTH('Page 1'!E17,-1)+1,"dd mmmm yyyy")</f>
        <v>PPR/CPR Analysis* 01 February 2017- 01 March 2017</v>
      </c>
      <c r="J13" s="240" t="s">
        <v>142</v>
      </c>
      <c r="K13" s="240" t="s">
        <v>143</v>
      </c>
      <c r="L13" s="240" t="s">
        <v>144</v>
      </c>
      <c r="M13" s="240" t="s">
        <v>145</v>
      </c>
      <c r="N13" s="241" t="s">
        <v>146</v>
      </c>
    </row>
    <row r="14" spans="2:18" ht="13.5" thickBot="1">
      <c r="B14" s="475" t="s">
        <v>147</v>
      </c>
      <c r="C14" s="242"/>
      <c r="D14" s="494">
        <v>25618</v>
      </c>
      <c r="E14" s="541">
        <f>(D14/D16)*100</f>
        <v>43.712993771862472</v>
      </c>
      <c r="F14" s="494">
        <v>3357943078.5700002</v>
      </c>
      <c r="G14" s="541">
        <f>(F14/$F$16)*100</f>
        <v>63.734436386885896</v>
      </c>
      <c r="H14" s="243"/>
      <c r="I14" s="702"/>
      <c r="J14" s="244" t="s">
        <v>123</v>
      </c>
      <c r="K14" s="244" t="s">
        <v>123</v>
      </c>
      <c r="L14" s="244" t="s">
        <v>123</v>
      </c>
      <c r="M14" s="244" t="s">
        <v>123</v>
      </c>
      <c r="N14" s="245" t="s">
        <v>123</v>
      </c>
    </row>
    <row r="15" spans="2:18" ht="15.75" customHeight="1" thickBot="1">
      <c r="B15" s="115" t="s">
        <v>148</v>
      </c>
      <c r="C15" s="150"/>
      <c r="D15" s="494">
        <v>32987</v>
      </c>
      <c r="E15" s="541">
        <f>(D15/D16)*100</f>
        <v>56.287006228137528</v>
      </c>
      <c r="F15" s="494">
        <v>1910704875.24</v>
      </c>
      <c r="G15" s="541">
        <f>(F15/$F$16)*100</f>
        <v>36.265563613114097</v>
      </c>
      <c r="I15" s="573" t="s">
        <v>149</v>
      </c>
      <c r="J15" s="574"/>
      <c r="K15" s="574"/>
      <c r="L15" s="574"/>
      <c r="M15" s="574"/>
      <c r="N15" s="575"/>
    </row>
    <row r="16" spans="2:18" ht="13.5" thickBot="1">
      <c r="B16" s="474" t="s">
        <v>105</v>
      </c>
      <c r="C16" s="246"/>
      <c r="D16" s="498">
        <f>SUM(D14:D15)</f>
        <v>58605</v>
      </c>
      <c r="E16" s="496">
        <v>100</v>
      </c>
      <c r="F16" s="498">
        <f>SUM(F14:F15)</f>
        <v>5268647953.8100004</v>
      </c>
      <c r="G16" s="496">
        <f>SUM(G14:G15)</f>
        <v>100</v>
      </c>
      <c r="I16" s="209" t="s">
        <v>150</v>
      </c>
      <c r="J16" s="557">
        <v>1.7622630286694307E-2</v>
      </c>
      <c r="K16" s="557">
        <v>0.19213239641670188</v>
      </c>
      <c r="L16" s="557">
        <v>1.7219142968493101E-2</v>
      </c>
      <c r="M16" s="557">
        <v>0.18813969415725895</v>
      </c>
      <c r="N16" s="557">
        <v>0.20504196684773701</v>
      </c>
    </row>
    <row r="17" spans="2:19" ht="13.5" thickBot="1">
      <c r="B17" s="33"/>
      <c r="C17" s="235"/>
      <c r="D17" s="547"/>
      <c r="F17" s="547"/>
      <c r="G17" s="499"/>
      <c r="I17" s="209" t="s">
        <v>151</v>
      </c>
      <c r="J17" s="558">
        <v>1.5858990668171313E-2</v>
      </c>
      <c r="K17" s="558">
        <v>0.17455536008652273</v>
      </c>
      <c r="L17" s="558">
        <v>1.769898285516654E-2</v>
      </c>
      <c r="M17" s="557">
        <v>0.1928894845434006</v>
      </c>
      <c r="N17" s="557">
        <v>0.20679306029757438</v>
      </c>
    </row>
    <row r="18" spans="2:19" ht="13.5" thickBot="1">
      <c r="D18" s="264"/>
      <c r="E18" s="264"/>
      <c r="F18" s="264"/>
      <c r="G18" s="264"/>
      <c r="H18" s="171"/>
      <c r="I18" s="573" t="s">
        <v>152</v>
      </c>
      <c r="J18" s="574"/>
      <c r="K18" s="574"/>
      <c r="L18" s="574"/>
      <c r="M18" s="574"/>
      <c r="N18" s="575"/>
    </row>
    <row r="19" spans="2:19" ht="12.75" customHeight="1">
      <c r="B19" s="472" t="s">
        <v>153</v>
      </c>
      <c r="C19" s="172"/>
      <c r="D19" s="500" t="s">
        <v>87</v>
      </c>
      <c r="E19" s="501" t="s">
        <v>123</v>
      </c>
      <c r="F19" s="502" t="s">
        <v>124</v>
      </c>
      <c r="G19" s="501" t="s">
        <v>123</v>
      </c>
      <c r="H19" s="171"/>
      <c r="I19" s="209" t="s">
        <v>150</v>
      </c>
      <c r="J19" s="557">
        <v>1.1800445925788229E-2</v>
      </c>
      <c r="K19" s="557">
        <v>0.13276690489781062</v>
      </c>
      <c r="L19" s="557">
        <v>1.1467789734904423E-2</v>
      </c>
      <c r="M19" s="557">
        <v>0.12996769466163072</v>
      </c>
      <c r="N19" s="557">
        <v>0.15038513134805595</v>
      </c>
    </row>
    <row r="20" spans="2:19" ht="13.5" thickBot="1">
      <c r="B20" s="175" t="s">
        <v>126</v>
      </c>
      <c r="C20" s="176"/>
      <c r="D20" s="503" t="s">
        <v>127</v>
      </c>
      <c r="E20" s="504" t="s">
        <v>128</v>
      </c>
      <c r="F20" s="505" t="s">
        <v>108</v>
      </c>
      <c r="G20" s="504" t="s">
        <v>129</v>
      </c>
      <c r="H20" s="239"/>
      <c r="I20" s="231" t="s">
        <v>151</v>
      </c>
      <c r="J20" s="557">
        <v>1.023679623319051E-2</v>
      </c>
      <c r="K20" s="557">
        <v>0.11615593674239766</v>
      </c>
      <c r="L20" s="580">
        <v>1.2003883401025442E-2</v>
      </c>
      <c r="M20" s="557">
        <v>0.13569436739635854</v>
      </c>
      <c r="N20" s="583">
        <v>0.15232363716039135</v>
      </c>
    </row>
    <row r="21" spans="2:19">
      <c r="B21" s="475" t="s">
        <v>154</v>
      </c>
      <c r="C21" s="247"/>
      <c r="D21" s="494">
        <v>35133</v>
      </c>
      <c r="E21" s="541">
        <f>(D21/$D$24)*100</f>
        <v>59.948809828512928</v>
      </c>
      <c r="F21" s="494">
        <v>3006664331.04</v>
      </c>
      <c r="G21" s="541">
        <f>(F21/$F$24)*100</f>
        <v>57.067094962489264</v>
      </c>
      <c r="H21" s="243"/>
      <c r="I21" s="576" t="s">
        <v>155</v>
      </c>
      <c r="J21" s="576"/>
      <c r="K21" s="576"/>
      <c r="L21" s="576"/>
      <c r="M21" s="576"/>
      <c r="N21" s="576"/>
    </row>
    <row r="22" spans="2:19" ht="12.75" customHeight="1" thickBot="1">
      <c r="B22" s="476" t="s">
        <v>156</v>
      </c>
      <c r="C22" s="140"/>
      <c r="D22" s="494">
        <v>23472</v>
      </c>
      <c r="E22" s="541">
        <f t="shared" ref="E22:E23" si="3">(D22/$D$24)*100</f>
        <v>40.051190171487072</v>
      </c>
      <c r="F22" s="494">
        <v>2261983622.77</v>
      </c>
      <c r="G22" s="541">
        <f t="shared" ref="G22:G23" si="4">(F22/$F$24)*100</f>
        <v>42.932905037510743</v>
      </c>
      <c r="I22" s="577" t="s">
        <v>157</v>
      </c>
      <c r="J22" s="577"/>
      <c r="K22" s="251"/>
      <c r="L22" s="251"/>
      <c r="M22" s="210"/>
    </row>
    <row r="23" spans="2:19" ht="12.75" customHeight="1" thickBot="1">
      <c r="B23" s="476" t="s">
        <v>137</v>
      </c>
      <c r="C23" s="140"/>
      <c r="D23" s="494">
        <v>0</v>
      </c>
      <c r="E23" s="541">
        <f t="shared" si="3"/>
        <v>0</v>
      </c>
      <c r="F23" s="494">
        <v>0</v>
      </c>
      <c r="G23" s="541">
        <f t="shared" si="4"/>
        <v>0</v>
      </c>
      <c r="I23" s="695" t="s">
        <v>157</v>
      </c>
      <c r="J23" s="696"/>
      <c r="K23" s="253"/>
      <c r="L23" s="251"/>
      <c r="M23" s="210"/>
    </row>
    <row r="24" spans="2:19" ht="15.75" customHeight="1" thickBot="1">
      <c r="B24" s="474" t="s">
        <v>105</v>
      </c>
      <c r="C24" s="165"/>
      <c r="D24" s="249">
        <f>SUM(D21:D23)</f>
        <v>58605</v>
      </c>
      <c r="E24" s="497">
        <f>SUM(E21:E23)</f>
        <v>100</v>
      </c>
      <c r="F24" s="250">
        <f>SUM(F21:F23)</f>
        <v>5268647953.8099995</v>
      </c>
      <c r="G24" s="497">
        <f>SUM(G21:G23)</f>
        <v>100</v>
      </c>
      <c r="I24" s="697"/>
      <c r="J24" s="698"/>
      <c r="K24" s="251"/>
      <c r="L24" s="622"/>
      <c r="M24" s="210"/>
      <c r="N24" s="8"/>
    </row>
    <row r="25" spans="2:19" ht="15">
      <c r="B25" s="33"/>
      <c r="C25" s="252"/>
      <c r="D25" s="547"/>
      <c r="F25" s="547"/>
      <c r="G25" s="506"/>
      <c r="I25" s="254" t="s">
        <v>158</v>
      </c>
      <c r="J25" s="634">
        <v>4.4900000000000002E-2</v>
      </c>
      <c r="K25" s="256"/>
      <c r="L25" s="265"/>
      <c r="M25" s="210"/>
    </row>
    <row r="26" spans="2:19" ht="14.25" customHeight="1" thickBot="1">
      <c r="B26" s="8"/>
      <c r="C26" s="8"/>
      <c r="D26" s="507"/>
      <c r="E26" s="507"/>
      <c r="F26" s="507"/>
      <c r="G26" s="507"/>
      <c r="H26" s="171"/>
      <c r="I26" s="255" t="s">
        <v>160</v>
      </c>
      <c r="J26" s="635">
        <v>42614</v>
      </c>
      <c r="L26" s="641"/>
      <c r="P26" s="8"/>
      <c r="Q26" s="8"/>
      <c r="R26" s="8"/>
      <c r="S26" s="8"/>
    </row>
    <row r="27" spans="2:19" ht="15">
      <c r="B27" s="692" t="s">
        <v>159</v>
      </c>
      <c r="C27" s="693"/>
      <c r="D27" s="500" t="s">
        <v>87</v>
      </c>
      <c r="E27" s="501" t="s">
        <v>123</v>
      </c>
      <c r="F27" s="502" t="s">
        <v>124</v>
      </c>
      <c r="G27" s="501" t="s">
        <v>123</v>
      </c>
      <c r="I27" s="255" t="s">
        <v>161</v>
      </c>
      <c r="J27" s="636">
        <v>4.7399999999999998E-2</v>
      </c>
      <c r="L27" s="210"/>
    </row>
    <row r="28" spans="2:19" ht="12.75" customHeight="1" thickBot="1">
      <c r="B28" s="201" t="s">
        <v>108</v>
      </c>
      <c r="C28" s="202"/>
      <c r="D28" s="503" t="s">
        <v>127</v>
      </c>
      <c r="E28" s="504" t="s">
        <v>128</v>
      </c>
      <c r="F28" s="505" t="s">
        <v>108</v>
      </c>
      <c r="G28" s="504" t="s">
        <v>129</v>
      </c>
      <c r="I28" s="258" t="s">
        <v>160</v>
      </c>
      <c r="J28" s="637">
        <v>41185</v>
      </c>
      <c r="K28" s="561"/>
      <c r="L28" s="260"/>
      <c r="M28" s="260"/>
      <c r="N28" s="261"/>
    </row>
    <row r="29" spans="2:19">
      <c r="B29" s="257" t="s">
        <v>162</v>
      </c>
      <c r="C29" s="247"/>
      <c r="D29" s="494">
        <v>23573</v>
      </c>
      <c r="E29" s="542">
        <f>(D29/$D$45)*100</f>
        <v>40.223530415493556</v>
      </c>
      <c r="F29" s="494">
        <v>555136195.05999994</v>
      </c>
      <c r="G29" s="542">
        <f>(F29/$F$45)*100</f>
        <v>10.536596863689773</v>
      </c>
    </row>
    <row r="30" spans="2:19">
      <c r="B30" s="259" t="s">
        <v>163</v>
      </c>
      <c r="C30" s="140"/>
      <c r="D30" s="494">
        <v>15100</v>
      </c>
      <c r="E30" s="542">
        <f t="shared" ref="E30:E44" si="5">(D30/$D$45)*100</f>
        <v>25.765719648494155</v>
      </c>
      <c r="F30" s="494">
        <v>1098742099.2</v>
      </c>
      <c r="G30" s="542">
        <f t="shared" ref="G30:G44" si="6">(F30/$F$45)*100</f>
        <v>20.854346481917613</v>
      </c>
    </row>
    <row r="31" spans="2:19">
      <c r="B31" s="259" t="s">
        <v>164</v>
      </c>
      <c r="C31" s="140"/>
      <c r="D31" s="494">
        <v>9366</v>
      </c>
      <c r="E31" s="542">
        <f t="shared" si="5"/>
        <v>15.981571538264653</v>
      </c>
      <c r="F31" s="494">
        <v>1150748250.72</v>
      </c>
      <c r="G31" s="542">
        <f t="shared" si="6"/>
        <v>21.841433719021619</v>
      </c>
    </row>
    <row r="32" spans="2:19">
      <c r="B32" s="259" t="s">
        <v>165</v>
      </c>
      <c r="C32" s="140"/>
      <c r="D32" s="494">
        <v>5131</v>
      </c>
      <c r="E32" s="542">
        <f t="shared" si="5"/>
        <v>8.7552256633393064</v>
      </c>
      <c r="F32" s="494">
        <v>882704600.29999995</v>
      </c>
      <c r="G32" s="542">
        <f t="shared" si="6"/>
        <v>16.753911212869628</v>
      </c>
    </row>
    <row r="33" spans="2:13">
      <c r="B33" s="259" t="s">
        <v>166</v>
      </c>
      <c r="C33" s="140"/>
      <c r="D33" s="494">
        <v>2448</v>
      </c>
      <c r="E33" s="542">
        <f t="shared" si="5"/>
        <v>4.177117993345278</v>
      </c>
      <c r="F33" s="494">
        <v>544828350.52999997</v>
      </c>
      <c r="G33" s="542">
        <f t="shared" si="6"/>
        <v>10.340951897080345</v>
      </c>
    </row>
    <row r="34" spans="2:13">
      <c r="B34" s="259" t="s">
        <v>167</v>
      </c>
      <c r="C34" s="140"/>
      <c r="D34" s="494">
        <v>1204</v>
      </c>
      <c r="E34" s="542">
        <f t="shared" si="5"/>
        <v>2.0544322156812558</v>
      </c>
      <c r="F34" s="494">
        <v>328277511.06999999</v>
      </c>
      <c r="G34" s="542">
        <f t="shared" si="6"/>
        <v>6.2307733207455529</v>
      </c>
    </row>
    <row r="35" spans="2:13">
      <c r="B35" s="259" t="s">
        <v>168</v>
      </c>
      <c r="C35" s="140"/>
      <c r="D35" s="494">
        <v>688</v>
      </c>
      <c r="E35" s="542">
        <f t="shared" si="5"/>
        <v>1.1739612661035748</v>
      </c>
      <c r="F35" s="494">
        <v>221827709.50999999</v>
      </c>
      <c r="G35" s="542">
        <f t="shared" si="6"/>
        <v>4.2103346333775482</v>
      </c>
    </row>
    <row r="36" spans="2:13" ht="15">
      <c r="B36" s="259" t="s">
        <v>169</v>
      </c>
      <c r="C36" s="140"/>
      <c r="D36" s="494">
        <v>431</v>
      </c>
      <c r="E36" s="542">
        <f t="shared" si="5"/>
        <v>0.73543213036430344</v>
      </c>
      <c r="F36" s="494">
        <v>160391342.96000001</v>
      </c>
      <c r="G36" s="542">
        <f t="shared" si="6"/>
        <v>3.0442600144504568</v>
      </c>
      <c r="I36" s="563"/>
      <c r="J36" s="564"/>
      <c r="K36" s="562"/>
      <c r="L36" s="262"/>
      <c r="M36" s="262"/>
    </row>
    <row r="37" spans="2:13" ht="15">
      <c r="B37" s="259" t="s">
        <v>170</v>
      </c>
      <c r="C37" s="140"/>
      <c r="D37" s="494">
        <v>257</v>
      </c>
      <c r="E37" s="542">
        <f t="shared" si="5"/>
        <v>0.43852913573927138</v>
      </c>
      <c r="F37" s="494">
        <v>108427388.42</v>
      </c>
      <c r="G37" s="542">
        <f t="shared" si="6"/>
        <v>2.0579736845311745</v>
      </c>
      <c r="I37" s="263"/>
      <c r="J37" s="265"/>
      <c r="K37" s="262"/>
      <c r="L37" s="262"/>
      <c r="M37" s="262"/>
    </row>
    <row r="38" spans="2:13" ht="15">
      <c r="B38" s="259" t="s">
        <v>171</v>
      </c>
      <c r="C38" s="140"/>
      <c r="D38" s="494">
        <v>181</v>
      </c>
      <c r="E38" s="542">
        <f t="shared" si="5"/>
        <v>0.30884736797201606</v>
      </c>
      <c r="F38" s="494">
        <v>86221637.969999999</v>
      </c>
      <c r="G38" s="542">
        <f t="shared" si="6"/>
        <v>1.63650406567114</v>
      </c>
      <c r="I38" s="264"/>
      <c r="J38" s="262"/>
      <c r="K38" s="262"/>
      <c r="L38" s="262"/>
      <c r="M38" s="262"/>
    </row>
    <row r="39" spans="2:13" ht="15">
      <c r="B39" s="259" t="s">
        <v>172</v>
      </c>
      <c r="C39" s="140"/>
      <c r="D39" s="494">
        <v>97</v>
      </c>
      <c r="E39" s="542">
        <f t="shared" si="5"/>
        <v>0.1655148878082075</v>
      </c>
      <c r="F39" s="494">
        <v>50044825.810000002</v>
      </c>
      <c r="G39" s="542">
        <f t="shared" si="6"/>
        <v>0.94986087984508993</v>
      </c>
      <c r="I39" s="266"/>
      <c r="J39" s="262"/>
      <c r="K39" s="262"/>
      <c r="L39" s="262"/>
      <c r="M39" s="262"/>
    </row>
    <row r="40" spans="2:13" ht="15">
      <c r="B40" s="259" t="s">
        <v>173</v>
      </c>
      <c r="C40" s="140"/>
      <c r="D40" s="494">
        <v>46</v>
      </c>
      <c r="E40" s="542">
        <f t="shared" si="5"/>
        <v>7.8491596280180875E-2</v>
      </c>
      <c r="F40" s="494">
        <v>26445891.120000001</v>
      </c>
      <c r="G40" s="542">
        <f t="shared" si="6"/>
        <v>0.5019483433292552</v>
      </c>
      <c r="J40" s="262"/>
      <c r="K40" s="262"/>
      <c r="L40" s="262"/>
      <c r="M40" s="262"/>
    </row>
    <row r="41" spans="2:13" ht="15">
      <c r="B41" s="259" t="s">
        <v>174</v>
      </c>
      <c r="C41" s="140"/>
      <c r="D41" s="494">
        <v>40</v>
      </c>
      <c r="E41" s="542">
        <f t="shared" si="5"/>
        <v>6.825356198276597E-2</v>
      </c>
      <c r="F41" s="494">
        <v>24855819.140000001</v>
      </c>
      <c r="G41" s="542">
        <f t="shared" si="6"/>
        <v>0.47176845668774703</v>
      </c>
      <c r="J41" s="262"/>
      <c r="K41" s="262"/>
      <c r="L41" s="262"/>
      <c r="M41" s="262"/>
    </row>
    <row r="42" spans="2:13" ht="15">
      <c r="B42" s="259" t="s">
        <v>175</v>
      </c>
      <c r="C42" s="140"/>
      <c r="D42" s="494">
        <v>20</v>
      </c>
      <c r="E42" s="542">
        <f t="shared" si="5"/>
        <v>3.4126780991382985E-2</v>
      </c>
      <c r="F42" s="494">
        <v>13395020.279999999</v>
      </c>
      <c r="G42" s="542">
        <f t="shared" si="6"/>
        <v>0.25424018452995034</v>
      </c>
      <c r="J42" s="262"/>
      <c r="K42" s="262"/>
      <c r="L42" s="262"/>
      <c r="M42" s="262"/>
    </row>
    <row r="43" spans="2:13" ht="15">
      <c r="B43" s="259" t="s">
        <v>176</v>
      </c>
      <c r="C43" s="140"/>
      <c r="D43" s="494">
        <v>23</v>
      </c>
      <c r="E43" s="542">
        <f t="shared" si="5"/>
        <v>3.9245798140090438E-2</v>
      </c>
      <c r="F43" s="494">
        <v>16601311.720000001</v>
      </c>
      <c r="G43" s="542">
        <f t="shared" si="6"/>
        <v>0.31509624225309707</v>
      </c>
      <c r="J43" s="262"/>
      <c r="K43" s="262"/>
      <c r="L43" s="262"/>
      <c r="M43" s="262"/>
    </row>
    <row r="44" spans="2:13" ht="15.75" thickBot="1">
      <c r="B44" s="267" t="s">
        <v>177</v>
      </c>
      <c r="C44" s="162"/>
      <c r="D44" s="495">
        <v>0</v>
      </c>
      <c r="E44" s="543">
        <f t="shared" si="5"/>
        <v>0</v>
      </c>
      <c r="F44" s="495">
        <v>0</v>
      </c>
      <c r="G44" s="543">
        <f t="shared" si="6"/>
        <v>0</v>
      </c>
      <c r="J44" s="262"/>
      <c r="K44" s="262"/>
      <c r="L44" s="262"/>
      <c r="M44" s="262"/>
    </row>
    <row r="45" spans="2:13" ht="15.75" thickBot="1">
      <c r="B45" s="474" t="s">
        <v>105</v>
      </c>
      <c r="C45" s="165"/>
      <c r="D45" s="268">
        <f>SUM(D29:D44)</f>
        <v>58605</v>
      </c>
      <c r="E45" s="544">
        <f>SUM(E29:E44)</f>
        <v>100.00000000000001</v>
      </c>
      <c r="F45" s="268">
        <f>SUM(F29:F44)</f>
        <v>5268647953.8100004</v>
      </c>
      <c r="G45" s="544">
        <f>SUM(G29:G44)</f>
        <v>99.999999999999986</v>
      </c>
      <c r="I45" s="489"/>
      <c r="J45" s="262"/>
      <c r="K45" s="262"/>
      <c r="L45" s="262"/>
      <c r="M45" s="262"/>
    </row>
    <row r="46" spans="2:13" ht="12.75" customHeight="1">
      <c r="B46" s="694" t="s">
        <v>573</v>
      </c>
      <c r="C46" s="694"/>
      <c r="D46" s="694"/>
      <c r="E46" s="694"/>
      <c r="F46" s="694"/>
      <c r="G46" s="694"/>
      <c r="J46" s="262"/>
      <c r="K46" s="262"/>
      <c r="L46" s="262"/>
      <c r="M46" s="262"/>
    </row>
    <row r="47" spans="2:13" ht="15">
      <c r="D47" s="547"/>
      <c r="F47" s="547"/>
      <c r="J47" s="262"/>
      <c r="K47" s="262"/>
      <c r="L47" s="262"/>
      <c r="M47" s="262"/>
    </row>
    <row r="48" spans="2:13" ht="15.75" thickBot="1">
      <c r="J48" s="262"/>
      <c r="K48" s="262"/>
      <c r="L48" s="262"/>
      <c r="M48" s="262"/>
    </row>
    <row r="49" spans="2:13" ht="15">
      <c r="B49" s="695" t="s">
        <v>178</v>
      </c>
      <c r="C49" s="696"/>
      <c r="D49" s="174" t="s">
        <v>87</v>
      </c>
      <c r="E49" s="174" t="s">
        <v>123</v>
      </c>
      <c r="F49" s="472" t="s">
        <v>124</v>
      </c>
      <c r="G49" s="174" t="s">
        <v>123</v>
      </c>
      <c r="I49" s="565"/>
      <c r="J49"/>
      <c r="K49"/>
      <c r="L49"/>
      <c r="M49"/>
    </row>
    <row r="50" spans="2:13" ht="13.5" thickBot="1">
      <c r="B50" s="697"/>
      <c r="C50" s="698"/>
      <c r="D50" s="203" t="s">
        <v>127</v>
      </c>
      <c r="E50" s="203" t="s">
        <v>128</v>
      </c>
      <c r="F50" s="201" t="s">
        <v>108</v>
      </c>
      <c r="G50" s="203" t="s">
        <v>129</v>
      </c>
      <c r="I50" s="566"/>
      <c r="J50" s="566"/>
      <c r="K50" s="566"/>
      <c r="L50" s="566"/>
      <c r="M50" s="566"/>
    </row>
    <row r="51" spans="2:13" ht="15">
      <c r="B51" s="548" t="s">
        <v>179</v>
      </c>
      <c r="C51" s="248"/>
      <c r="D51" s="494">
        <v>2119</v>
      </c>
      <c r="E51" s="493">
        <f>(D51/$D$63)*100</f>
        <v>3.6157324460370273</v>
      </c>
      <c r="F51" s="494">
        <v>184752290.06</v>
      </c>
      <c r="G51" s="493">
        <f>(F51/$F$63)*100</f>
        <v>3.5066357000831148</v>
      </c>
      <c r="I51" s="621"/>
      <c r="J51" s="567"/>
      <c r="K51" s="568"/>
      <c r="L51" s="569"/>
      <c r="M51" s="568"/>
    </row>
    <row r="52" spans="2:13" ht="15">
      <c r="B52" s="548" t="s">
        <v>180</v>
      </c>
      <c r="C52" s="248"/>
      <c r="D52" s="494">
        <v>3307</v>
      </c>
      <c r="E52" s="493">
        <f t="shared" ref="E52:E62" si="7">(D52/$D$63)*100</f>
        <v>5.6428632369251766</v>
      </c>
      <c r="F52" s="494">
        <v>249627772.63</v>
      </c>
      <c r="G52" s="493">
        <f t="shared" ref="G52:G62" si="8">(F52/$F$63)*100</f>
        <v>4.7379854341849263</v>
      </c>
      <c r="I52" s="621"/>
      <c r="J52" s="567"/>
      <c r="K52" s="568"/>
      <c r="L52" s="569"/>
      <c r="M52" s="568"/>
    </row>
    <row r="53" spans="2:13" ht="15">
      <c r="B53" s="548" t="s">
        <v>181</v>
      </c>
      <c r="C53" s="248"/>
      <c r="D53" s="494">
        <v>8916</v>
      </c>
      <c r="E53" s="493">
        <f t="shared" si="7"/>
        <v>15.213718965958536</v>
      </c>
      <c r="F53" s="494">
        <v>1103790461.96</v>
      </c>
      <c r="G53" s="493">
        <f t="shared" si="8"/>
        <v>20.950165424543098</v>
      </c>
      <c r="I53" s="621"/>
      <c r="J53" s="567"/>
      <c r="K53" s="568"/>
      <c r="L53" s="569"/>
      <c r="M53" s="568"/>
    </row>
    <row r="54" spans="2:13" ht="15">
      <c r="B54" s="548" t="s">
        <v>182</v>
      </c>
      <c r="C54" s="248"/>
      <c r="D54" s="494">
        <v>2465</v>
      </c>
      <c r="E54" s="493">
        <f t="shared" si="7"/>
        <v>4.2061257571879533</v>
      </c>
      <c r="F54" s="494">
        <v>151942661.58000001</v>
      </c>
      <c r="G54" s="493">
        <f t="shared" si="8"/>
        <v>2.8839023391214309</v>
      </c>
      <c r="I54" s="621"/>
      <c r="J54" s="570"/>
      <c r="K54" s="568"/>
      <c r="L54" s="570"/>
      <c r="M54" s="568"/>
    </row>
    <row r="55" spans="2:13" ht="15">
      <c r="B55" s="548" t="s">
        <v>183</v>
      </c>
      <c r="C55" s="248"/>
      <c r="D55" s="494">
        <v>7366</v>
      </c>
      <c r="E55" s="493">
        <f t="shared" si="7"/>
        <v>12.568893439126356</v>
      </c>
      <c r="F55" s="494">
        <v>520619789.36000001</v>
      </c>
      <c r="G55" s="493">
        <f t="shared" si="8"/>
        <v>9.881468527110755</v>
      </c>
      <c r="I55" s="621"/>
      <c r="J55" s="567"/>
      <c r="K55" s="568"/>
      <c r="L55" s="569"/>
      <c r="M55" s="568"/>
    </row>
    <row r="56" spans="2:13" ht="15">
      <c r="B56" s="548" t="s">
        <v>184</v>
      </c>
      <c r="C56" s="248"/>
      <c r="D56" s="494">
        <v>4375</v>
      </c>
      <c r="E56" s="493">
        <f t="shared" si="7"/>
        <v>7.4652333418650283</v>
      </c>
      <c r="F56" s="494">
        <v>274292916.74000001</v>
      </c>
      <c r="G56" s="493">
        <f t="shared" si="8"/>
        <v>5.206134840374868</v>
      </c>
      <c r="I56" s="621"/>
      <c r="J56" s="567"/>
      <c r="K56" s="568"/>
      <c r="L56" s="569"/>
      <c r="M56" s="568"/>
    </row>
    <row r="57" spans="2:13" ht="15">
      <c r="B57" s="548" t="s">
        <v>185</v>
      </c>
      <c r="C57" s="248"/>
      <c r="D57" s="494">
        <v>14529</v>
      </c>
      <c r="E57" s="493">
        <f t="shared" si="7"/>
        <v>24.79140005119017</v>
      </c>
      <c r="F57" s="494">
        <v>1568610251.01</v>
      </c>
      <c r="G57" s="493">
        <f t="shared" si="8"/>
        <v>29.772538699908125</v>
      </c>
      <c r="I57" s="621"/>
      <c r="J57" s="567"/>
      <c r="K57" s="568"/>
      <c r="L57" s="569"/>
      <c r="M57" s="568"/>
    </row>
    <row r="58" spans="2:13" ht="15">
      <c r="B58" s="548" t="s">
        <v>186</v>
      </c>
      <c r="C58" s="248"/>
      <c r="D58" s="494">
        <v>4771</v>
      </c>
      <c r="E58" s="493">
        <f t="shared" si="7"/>
        <v>8.140943605494412</v>
      </c>
      <c r="F58" s="494">
        <v>451583366.92000002</v>
      </c>
      <c r="G58" s="493">
        <f t="shared" si="8"/>
        <v>8.5711433156857524</v>
      </c>
      <c r="I58" s="621"/>
      <c r="J58" s="567"/>
      <c r="K58" s="568"/>
      <c r="L58" s="569"/>
      <c r="M58" s="568"/>
    </row>
    <row r="59" spans="2:13" ht="15">
      <c r="B59" s="548" t="s">
        <v>187</v>
      </c>
      <c r="C59" s="248"/>
      <c r="D59" s="494">
        <v>3901</v>
      </c>
      <c r="E59" s="493">
        <f t="shared" si="7"/>
        <v>6.6564286323692521</v>
      </c>
      <c r="F59" s="494">
        <v>262289432.13</v>
      </c>
      <c r="G59" s="493">
        <f t="shared" si="8"/>
        <v>4.978306283309867</v>
      </c>
      <c r="I59" s="621"/>
      <c r="J59" s="567"/>
      <c r="K59" s="568"/>
      <c r="L59" s="569"/>
      <c r="M59" s="568"/>
    </row>
    <row r="60" spans="2:13" ht="15">
      <c r="B60" s="548" t="s">
        <v>188</v>
      </c>
      <c r="C60" s="248"/>
      <c r="D60" s="494">
        <v>3038</v>
      </c>
      <c r="E60" s="493">
        <f t="shared" si="7"/>
        <v>5.1838580325910755</v>
      </c>
      <c r="F60" s="494">
        <v>216576116.5</v>
      </c>
      <c r="G60" s="493">
        <f t="shared" si="8"/>
        <v>4.1106583396482943</v>
      </c>
      <c r="I60" s="621"/>
      <c r="J60" s="567"/>
      <c r="K60" s="568"/>
      <c r="L60" s="569"/>
      <c r="M60" s="568"/>
    </row>
    <row r="61" spans="2:13" ht="15">
      <c r="B61" s="548" t="s">
        <v>189</v>
      </c>
      <c r="C61" s="248"/>
      <c r="D61" s="494">
        <v>3818</v>
      </c>
      <c r="E61" s="493">
        <f t="shared" si="7"/>
        <v>6.5148024912550113</v>
      </c>
      <c r="F61" s="494">
        <v>284562894.92000002</v>
      </c>
      <c r="G61" s="493">
        <f t="shared" si="8"/>
        <v>5.4010610960297614</v>
      </c>
      <c r="I61" s="631"/>
      <c r="J61" s="567"/>
      <c r="K61" s="568"/>
      <c r="L61" s="569"/>
      <c r="M61" s="568"/>
    </row>
    <row r="62" spans="2:13" ht="15.75" thickBot="1">
      <c r="B62" s="548" t="s">
        <v>137</v>
      </c>
      <c r="C62" s="248"/>
      <c r="D62" s="495">
        <v>0</v>
      </c>
      <c r="E62" s="493">
        <f t="shared" si="7"/>
        <v>0</v>
      </c>
      <c r="F62" s="494">
        <v>0</v>
      </c>
      <c r="G62" s="493">
        <f t="shared" si="8"/>
        <v>0</v>
      </c>
      <c r="I62" s="621"/>
      <c r="J62" s="567"/>
      <c r="K62" s="568"/>
      <c r="L62" s="569"/>
      <c r="M62" s="568"/>
    </row>
    <row r="63" spans="2:13" ht="15.75" thickBot="1">
      <c r="B63" s="474" t="s">
        <v>105</v>
      </c>
      <c r="C63" s="246"/>
      <c r="D63" s="508">
        <f>SUM(D51:D62)</f>
        <v>58605</v>
      </c>
      <c r="E63" s="509">
        <f>SUM(E51:E62)</f>
        <v>100</v>
      </c>
      <c r="F63" s="508">
        <f>SUM(F51:F62)</f>
        <v>5268647953.8100004</v>
      </c>
      <c r="G63" s="509">
        <f>SUM(G51:G62)</f>
        <v>99.999999999999986</v>
      </c>
      <c r="I63" s="566"/>
      <c r="J63" s="570"/>
      <c r="K63" s="568"/>
      <c r="L63" s="569"/>
      <c r="M63" s="568"/>
    </row>
    <row r="64" spans="2:13" ht="15">
      <c r="D64" s="547"/>
      <c r="F64" s="547"/>
      <c r="I64" s="566"/>
      <c r="J64" s="567"/>
      <c r="K64" s="570"/>
      <c r="L64" s="569"/>
      <c r="M64" s="570"/>
    </row>
    <row r="65" spans="4:13">
      <c r="I65" s="571"/>
      <c r="J65" s="571"/>
      <c r="K65" s="571"/>
      <c r="L65" s="571"/>
      <c r="M65" s="571"/>
    </row>
    <row r="66" spans="4:13">
      <c r="I66" s="571"/>
      <c r="J66" s="571"/>
      <c r="K66" s="571"/>
      <c r="L66" s="571"/>
      <c r="M66" s="571"/>
    </row>
    <row r="67" spans="4:13" ht="15">
      <c r="D67" s="264"/>
      <c r="I67" s="570"/>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March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190</v>
      </c>
      <c r="C2" s="473" t="s">
        <v>87</v>
      </c>
      <c r="D2" s="174" t="s">
        <v>123</v>
      </c>
      <c r="E2" s="472" t="s">
        <v>124</v>
      </c>
      <c r="F2" s="174" t="s">
        <v>123</v>
      </c>
      <c r="H2" s="472" t="s">
        <v>191</v>
      </c>
      <c r="I2" s="174" t="s">
        <v>87</v>
      </c>
      <c r="J2" s="174" t="s">
        <v>123</v>
      </c>
      <c r="K2" s="472" t="s">
        <v>124</v>
      </c>
      <c r="L2" s="174" t="s">
        <v>123</v>
      </c>
      <c r="P2" s="547"/>
      <c r="Q2" s="547"/>
      <c r="R2" s="53"/>
    </row>
    <row r="3" spans="2:18" ht="13.5" thickBot="1">
      <c r="B3" s="203"/>
      <c r="C3" s="223" t="s">
        <v>127</v>
      </c>
      <c r="D3" s="203" t="s">
        <v>128</v>
      </c>
      <c r="E3" s="201" t="s">
        <v>108</v>
      </c>
      <c r="F3" s="203" t="s">
        <v>129</v>
      </c>
      <c r="H3" s="269" t="s">
        <v>192</v>
      </c>
      <c r="I3" s="203" t="s">
        <v>127</v>
      </c>
      <c r="J3" s="203" t="s">
        <v>128</v>
      </c>
      <c r="K3" s="201" t="s">
        <v>108</v>
      </c>
      <c r="L3" s="203" t="s">
        <v>129</v>
      </c>
      <c r="P3" s="630"/>
      <c r="Q3" s="547"/>
      <c r="R3" s="547"/>
    </row>
    <row r="4" spans="2:18">
      <c r="B4" s="270" t="s">
        <v>193</v>
      </c>
      <c r="C4" s="494">
        <v>12767</v>
      </c>
      <c r="D4" s="512">
        <f>(C4/$C$15)*100</f>
        <v>21.784830645849329</v>
      </c>
      <c r="E4" s="486">
        <v>690475815.69000006</v>
      </c>
      <c r="F4" s="487">
        <f t="shared" ref="F4:F14" si="0">(E4/$E$15)*100</f>
        <v>13.105370139424204</v>
      </c>
      <c r="H4" s="475" t="s">
        <v>194</v>
      </c>
      <c r="I4" s="494">
        <v>24054</v>
      </c>
      <c r="J4" s="487">
        <f>(I4/$I$13)*100</f>
        <v>41.044279498336316</v>
      </c>
      <c r="K4" s="486">
        <v>794284929.05999994</v>
      </c>
      <c r="L4" s="487">
        <f t="shared" ref="L4:L12" si="1">(K4/$K$13)*100</f>
        <v>15.075688032745029</v>
      </c>
      <c r="P4" s="630"/>
      <c r="Q4" s="547"/>
      <c r="R4" s="547"/>
    </row>
    <row r="5" spans="2:18">
      <c r="B5" s="209" t="s">
        <v>195</v>
      </c>
      <c r="C5" s="494">
        <v>16808</v>
      </c>
      <c r="D5" s="512">
        <f t="shared" ref="D5:D14" si="2">(C5/$C$15)*100</f>
        <v>28.680146745158265</v>
      </c>
      <c r="E5" s="486">
        <v>1301480884.1700001</v>
      </c>
      <c r="F5" s="487">
        <f t="shared" si="0"/>
        <v>24.702369480368109</v>
      </c>
      <c r="H5" s="476" t="s">
        <v>196</v>
      </c>
      <c r="I5" s="494">
        <v>18758</v>
      </c>
      <c r="J5" s="487">
        <f t="shared" ref="J5:J12" si="3">(I5/$I$13)*100</f>
        <v>32.007507891818108</v>
      </c>
      <c r="K5" s="486">
        <v>1881348934.48</v>
      </c>
      <c r="L5" s="487">
        <f t="shared" si="1"/>
        <v>35.7083819411299</v>
      </c>
      <c r="P5" s="630"/>
      <c r="Q5" s="547"/>
      <c r="R5" s="547"/>
    </row>
    <row r="6" spans="2:18">
      <c r="B6" s="209" t="s">
        <v>197</v>
      </c>
      <c r="C6" s="494">
        <v>18479</v>
      </c>
      <c r="D6" s="512">
        <f t="shared" si="2"/>
        <v>31.53143929698831</v>
      </c>
      <c r="E6" s="486">
        <v>1927221444.95</v>
      </c>
      <c r="F6" s="487">
        <f t="shared" si="0"/>
        <v>36.579051434938606</v>
      </c>
      <c r="H6" s="476" t="s">
        <v>198</v>
      </c>
      <c r="I6" s="494">
        <v>13660</v>
      </c>
      <c r="J6" s="487">
        <f t="shared" si="3"/>
        <v>23.308591417114581</v>
      </c>
      <c r="K6" s="486">
        <v>2204871968</v>
      </c>
      <c r="L6" s="487">
        <f t="shared" si="1"/>
        <v>41.848914319765029</v>
      </c>
      <c r="P6" s="630"/>
      <c r="Q6" s="547"/>
      <c r="R6" s="547"/>
    </row>
    <row r="7" spans="2:18">
      <c r="B7" s="209" t="s">
        <v>199</v>
      </c>
      <c r="C7" s="494">
        <v>8596</v>
      </c>
      <c r="D7" s="512">
        <f t="shared" si="2"/>
        <v>14.667690470096408</v>
      </c>
      <c r="E7" s="486">
        <v>1099166788.8699999</v>
      </c>
      <c r="F7" s="487">
        <f t="shared" si="0"/>
        <v>20.862407177445636</v>
      </c>
      <c r="H7" s="476" t="s">
        <v>200</v>
      </c>
      <c r="I7" s="494">
        <v>1287</v>
      </c>
      <c r="J7" s="487">
        <f t="shared" si="3"/>
        <v>2.1960583567954952</v>
      </c>
      <c r="K7" s="486">
        <v>232726176.88999999</v>
      </c>
      <c r="L7" s="487">
        <f t="shared" si="1"/>
        <v>4.4171897407133658</v>
      </c>
      <c r="P7" s="630"/>
      <c r="Q7" s="547"/>
      <c r="R7" s="547"/>
    </row>
    <row r="8" spans="2:18">
      <c r="B8" s="209" t="s">
        <v>201</v>
      </c>
      <c r="C8" s="494">
        <v>1458</v>
      </c>
      <c r="D8" s="512">
        <f t="shared" si="2"/>
        <v>2.4878423342718197</v>
      </c>
      <c r="E8" s="486">
        <v>181961508.22999999</v>
      </c>
      <c r="F8" s="487">
        <f t="shared" si="0"/>
        <v>3.453666098499053</v>
      </c>
      <c r="H8" s="476" t="s">
        <v>202</v>
      </c>
      <c r="I8" s="494">
        <v>666</v>
      </c>
      <c r="J8" s="487">
        <f t="shared" si="3"/>
        <v>1.1364218070130536</v>
      </c>
      <c r="K8" s="486">
        <v>125494292.89</v>
      </c>
      <c r="L8" s="487">
        <f t="shared" si="1"/>
        <v>2.3819069710142493</v>
      </c>
    </row>
    <row r="9" spans="2:18">
      <c r="B9" s="209" t="s">
        <v>203</v>
      </c>
      <c r="C9" s="494">
        <v>325</v>
      </c>
      <c r="D9" s="512">
        <f t="shared" si="2"/>
        <v>0.55456019110997357</v>
      </c>
      <c r="E9" s="486">
        <v>45079168.409999996</v>
      </c>
      <c r="F9" s="487">
        <f t="shared" si="0"/>
        <v>0.8556117016207393</v>
      </c>
      <c r="H9" s="476" t="s">
        <v>204</v>
      </c>
      <c r="I9" s="494">
        <v>169</v>
      </c>
      <c r="J9" s="487">
        <f t="shared" si="3"/>
        <v>0.28837129937718625</v>
      </c>
      <c r="K9" s="486">
        <v>27259086.440000001</v>
      </c>
      <c r="L9" s="487">
        <f t="shared" si="1"/>
        <v>0.51738295439321802</v>
      </c>
    </row>
    <row r="10" spans="2:18">
      <c r="B10" s="209" t="s">
        <v>205</v>
      </c>
      <c r="C10" s="494">
        <v>172</v>
      </c>
      <c r="D10" s="512">
        <f t="shared" si="2"/>
        <v>0.29349031652589369</v>
      </c>
      <c r="E10" s="486">
        <v>23262343.489999998</v>
      </c>
      <c r="F10" s="487">
        <f t="shared" si="0"/>
        <v>0.44152396770366747</v>
      </c>
      <c r="H10" s="476" t="s">
        <v>206</v>
      </c>
      <c r="I10" s="494">
        <v>4</v>
      </c>
      <c r="J10" s="487">
        <f t="shared" si="3"/>
        <v>6.8253561982765968E-3</v>
      </c>
      <c r="K10" s="486">
        <v>801207.03</v>
      </c>
      <c r="L10" s="487">
        <f t="shared" si="1"/>
        <v>1.5207070903657752E-2</v>
      </c>
    </row>
    <row r="11" spans="2:18">
      <c r="B11" s="209" t="s">
        <v>207</v>
      </c>
      <c r="C11" s="494">
        <v>0</v>
      </c>
      <c r="D11" s="512">
        <f t="shared" si="2"/>
        <v>0</v>
      </c>
      <c r="E11" s="486">
        <v>0</v>
      </c>
      <c r="F11" s="487">
        <f t="shared" si="0"/>
        <v>0</v>
      </c>
      <c r="H11" s="476" t="s">
        <v>208</v>
      </c>
      <c r="I11" s="494">
        <v>6</v>
      </c>
      <c r="J11" s="487">
        <f t="shared" si="3"/>
        <v>1.0238034297414897E-2</v>
      </c>
      <c r="K11" s="486">
        <v>1833914.07</v>
      </c>
      <c r="L11" s="487">
        <f t="shared" si="1"/>
        <v>3.480805865333654E-2</v>
      </c>
    </row>
    <row r="12" spans="2:18" ht="13.5" thickBot="1">
      <c r="B12" s="209" t="s">
        <v>209</v>
      </c>
      <c r="C12" s="494">
        <v>0</v>
      </c>
      <c r="D12" s="512">
        <f t="shared" si="2"/>
        <v>0</v>
      </c>
      <c r="E12" s="486">
        <v>0</v>
      </c>
      <c r="F12" s="487">
        <f t="shared" si="0"/>
        <v>0</v>
      </c>
      <c r="H12" s="476" t="s">
        <v>137</v>
      </c>
      <c r="I12" s="494">
        <v>1</v>
      </c>
      <c r="J12" s="487">
        <f t="shared" si="3"/>
        <v>1.7063390495691492E-3</v>
      </c>
      <c r="K12" s="486">
        <v>27444.95</v>
      </c>
      <c r="L12" s="487">
        <f t="shared" si="1"/>
        <v>5.2091068222072628E-4</v>
      </c>
    </row>
    <row r="13" spans="2:18" ht="13.5" thickBot="1">
      <c r="B13" s="209" t="s">
        <v>210</v>
      </c>
      <c r="C13" s="494">
        <v>0</v>
      </c>
      <c r="D13" s="512">
        <f t="shared" si="2"/>
        <v>0</v>
      </c>
      <c r="E13" s="486">
        <v>0</v>
      </c>
      <c r="F13" s="487">
        <f t="shared" si="0"/>
        <v>0</v>
      </c>
      <c r="H13" s="474" t="s">
        <v>105</v>
      </c>
      <c r="I13" s="271">
        <f>SUM(I4:I12)</f>
        <v>58605</v>
      </c>
      <c r="J13" s="515">
        <f>SUM(J4:J12)</f>
        <v>100</v>
      </c>
      <c r="K13" s="271">
        <f>SUM(K4:K12)</f>
        <v>5268647953.8099995</v>
      </c>
      <c r="L13" s="515">
        <f>+SUM(L4:L12)</f>
        <v>100.00000000000001</v>
      </c>
    </row>
    <row r="14" spans="2:18" ht="13.5" customHeight="1" thickBot="1">
      <c r="B14" s="231" t="s">
        <v>137</v>
      </c>
      <c r="C14" s="494">
        <v>0</v>
      </c>
      <c r="D14" s="512">
        <f t="shared" si="2"/>
        <v>0</v>
      </c>
      <c r="E14" s="486">
        <v>0</v>
      </c>
      <c r="F14" s="487">
        <f t="shared" si="0"/>
        <v>0</v>
      </c>
      <c r="H14" s="706" t="s">
        <v>574</v>
      </c>
      <c r="I14" s="707"/>
      <c r="J14" s="707"/>
      <c r="K14" s="707"/>
      <c r="L14" s="707"/>
    </row>
    <row r="15" spans="2:18" ht="13.5" thickBot="1">
      <c r="B15" s="231" t="s">
        <v>105</v>
      </c>
      <c r="C15" s="272">
        <f>SUM(C4:C14)</f>
        <v>58605</v>
      </c>
      <c r="D15" s="513">
        <f>SUM(D4:D14)</f>
        <v>99.999999999999986</v>
      </c>
      <c r="E15" s="272">
        <f>SUM(E4:E14)</f>
        <v>5268647953.8099995</v>
      </c>
      <c r="F15" s="513">
        <f>SUM(F4:F14)</f>
        <v>100.00000000000003</v>
      </c>
      <c r="H15" s="708"/>
      <c r="I15" s="708"/>
      <c r="J15" s="708"/>
      <c r="K15" s="708"/>
      <c r="L15" s="708"/>
    </row>
    <row r="16" spans="2:18" ht="13.5" customHeight="1" thickBot="1">
      <c r="B16" s="709" t="s">
        <v>575</v>
      </c>
      <c r="C16" s="709"/>
      <c r="D16" s="709"/>
      <c r="E16" s="709"/>
      <c r="F16" s="709"/>
      <c r="H16" s="8"/>
      <c r="I16" s="547"/>
      <c r="K16" s="547"/>
      <c r="L16" s="8"/>
    </row>
    <row r="17" spans="2:12">
      <c r="B17" s="710"/>
      <c r="C17" s="710"/>
      <c r="D17" s="710"/>
      <c r="E17" s="710"/>
      <c r="F17" s="710"/>
      <c r="H17" s="174" t="s">
        <v>211</v>
      </c>
      <c r="I17" s="174" t="s">
        <v>87</v>
      </c>
      <c r="J17" s="174" t="s">
        <v>123</v>
      </c>
      <c r="K17" s="472" t="s">
        <v>124</v>
      </c>
      <c r="L17" s="174" t="s">
        <v>123</v>
      </c>
    </row>
    <row r="18" spans="2:12" ht="13.5" thickBot="1">
      <c r="C18" s="547"/>
      <c r="D18" s="53"/>
      <c r="E18" s="547"/>
      <c r="H18" s="203" t="s">
        <v>212</v>
      </c>
      <c r="I18" s="203" t="s">
        <v>127</v>
      </c>
      <c r="J18" s="203" t="s">
        <v>128</v>
      </c>
      <c r="K18" s="201" t="s">
        <v>108</v>
      </c>
      <c r="L18" s="203" t="s">
        <v>129</v>
      </c>
    </row>
    <row r="19" spans="2:12">
      <c r="B19" s="174" t="s">
        <v>213</v>
      </c>
      <c r="C19" s="473" t="s">
        <v>87</v>
      </c>
      <c r="D19" s="174" t="s">
        <v>123</v>
      </c>
      <c r="E19" s="472" t="s">
        <v>124</v>
      </c>
      <c r="F19" s="174" t="s">
        <v>123</v>
      </c>
      <c r="H19" s="475" t="s">
        <v>194</v>
      </c>
      <c r="I19" s="494">
        <v>17473</v>
      </c>
      <c r="J19" s="487">
        <f>(I19/$I$28)*100</f>
        <v>29.814862213121746</v>
      </c>
      <c r="K19" s="486">
        <v>428823743.25</v>
      </c>
      <c r="L19" s="487">
        <f>(K19/$K$28)*100</f>
        <v>8.1391610714832083</v>
      </c>
    </row>
    <row r="20" spans="2:12" ht="13.5" thickBot="1">
      <c r="B20" s="203"/>
      <c r="C20" s="223" t="s">
        <v>127</v>
      </c>
      <c r="D20" s="203" t="s">
        <v>128</v>
      </c>
      <c r="E20" s="201" t="s">
        <v>108</v>
      </c>
      <c r="F20" s="203" t="s">
        <v>129</v>
      </c>
      <c r="H20" s="476" t="s">
        <v>196</v>
      </c>
      <c r="I20" s="494">
        <v>16280</v>
      </c>
      <c r="J20" s="487">
        <f t="shared" ref="J20:J27" si="4">(I20/$I$28)*100</f>
        <v>27.779199726985755</v>
      </c>
      <c r="K20" s="486">
        <v>1220040303.24</v>
      </c>
      <c r="L20" s="487">
        <f t="shared" ref="L20:L27" si="5">(K20/$K$28)*100</f>
        <v>23.156610840884394</v>
      </c>
    </row>
    <row r="21" spans="2:12">
      <c r="B21" s="209" t="s">
        <v>214</v>
      </c>
      <c r="C21" s="494">
        <v>0</v>
      </c>
      <c r="D21" s="487">
        <f>(C21/$C$52)*100</f>
        <v>0</v>
      </c>
      <c r="E21" s="486">
        <v>0</v>
      </c>
      <c r="F21" s="487">
        <f>(E21/$E$52)*100</f>
        <v>0</v>
      </c>
      <c r="H21" s="476" t="s">
        <v>198</v>
      </c>
      <c r="I21" s="494">
        <v>15178</v>
      </c>
      <c r="J21" s="487">
        <f t="shared" si="4"/>
        <v>25.898814094360549</v>
      </c>
      <c r="K21" s="486">
        <v>2001726798.8599999</v>
      </c>
      <c r="L21" s="487">
        <f t="shared" si="5"/>
        <v>37.993178067865784</v>
      </c>
    </row>
    <row r="22" spans="2:12">
      <c r="B22" s="209" t="s">
        <v>215</v>
      </c>
      <c r="C22" s="494">
        <v>0</v>
      </c>
      <c r="D22" s="487">
        <f t="shared" ref="D22:D51" si="6">(C22/$C$52)*100</f>
        <v>0</v>
      </c>
      <c r="E22" s="486">
        <v>0</v>
      </c>
      <c r="F22" s="487">
        <f t="shared" ref="F22:F51" si="7">(E22/$E$52)*100</f>
        <v>0</v>
      </c>
      <c r="H22" s="476" t="s">
        <v>200</v>
      </c>
      <c r="I22" s="494">
        <v>3015</v>
      </c>
      <c r="J22" s="487">
        <f t="shared" si="4"/>
        <v>5.1446122344509853</v>
      </c>
      <c r="K22" s="486">
        <v>497114992.87</v>
      </c>
      <c r="L22" s="487">
        <f t="shared" si="5"/>
        <v>9.4353427526034199</v>
      </c>
    </row>
    <row r="23" spans="2:12">
      <c r="B23" s="209" t="s">
        <v>216</v>
      </c>
      <c r="C23" s="494">
        <v>44</v>
      </c>
      <c r="D23" s="487">
        <f t="shared" si="6"/>
        <v>7.5078918181042578E-2</v>
      </c>
      <c r="E23" s="486">
        <v>7949209.5700000003</v>
      </c>
      <c r="F23" s="487">
        <f t="shared" si="7"/>
        <v>0.15087759971230502</v>
      </c>
      <c r="H23" s="476" t="s">
        <v>202</v>
      </c>
      <c r="I23" s="494">
        <v>2119</v>
      </c>
      <c r="J23" s="487">
        <f t="shared" si="4"/>
        <v>3.6157324460370273</v>
      </c>
      <c r="K23" s="486">
        <v>364535870.83999997</v>
      </c>
      <c r="L23" s="487">
        <f t="shared" si="5"/>
        <v>6.9189642966444085</v>
      </c>
    </row>
    <row r="24" spans="2:12">
      <c r="B24" s="209" t="s">
        <v>217</v>
      </c>
      <c r="C24" s="494">
        <v>88</v>
      </c>
      <c r="D24" s="487">
        <f t="shared" si="6"/>
        <v>0.15015783636208516</v>
      </c>
      <c r="E24" s="486">
        <v>15430641.01</v>
      </c>
      <c r="F24" s="487">
        <f t="shared" si="7"/>
        <v>0.29287667624179364</v>
      </c>
      <c r="H24" s="476" t="s">
        <v>204</v>
      </c>
      <c r="I24" s="494">
        <v>2098</v>
      </c>
      <c r="J24" s="487">
        <f t="shared" si="4"/>
        <v>3.5798993259960756</v>
      </c>
      <c r="K24" s="486">
        <v>372015569.56999999</v>
      </c>
      <c r="L24" s="487">
        <f t="shared" si="5"/>
        <v>7.0609304859888891</v>
      </c>
    </row>
    <row r="25" spans="2:12">
      <c r="B25" s="209" t="s">
        <v>218</v>
      </c>
      <c r="C25" s="494">
        <v>45</v>
      </c>
      <c r="D25" s="487">
        <f t="shared" si="6"/>
        <v>7.678525723061172E-2</v>
      </c>
      <c r="E25" s="486">
        <v>5452970.4800000004</v>
      </c>
      <c r="F25" s="487">
        <f t="shared" si="7"/>
        <v>0.10349847869521646</v>
      </c>
      <c r="H25" s="476" t="s">
        <v>206</v>
      </c>
      <c r="I25" s="494">
        <v>1340</v>
      </c>
      <c r="J25" s="487">
        <f t="shared" si="4"/>
        <v>2.2864943264226603</v>
      </c>
      <c r="K25" s="486">
        <v>236252373.78999999</v>
      </c>
      <c r="L25" s="487">
        <f t="shared" si="5"/>
        <v>4.4841176685406579</v>
      </c>
    </row>
    <row r="26" spans="2:12" ht="13.5" customHeight="1">
      <c r="B26" s="209" t="s">
        <v>219</v>
      </c>
      <c r="C26" s="494">
        <v>45</v>
      </c>
      <c r="D26" s="487">
        <f t="shared" si="6"/>
        <v>7.678525723061172E-2</v>
      </c>
      <c r="E26" s="486">
        <v>6535883.7199999997</v>
      </c>
      <c r="F26" s="487">
        <f t="shared" si="7"/>
        <v>0.12405239023938967</v>
      </c>
      <c r="H26" s="476" t="s">
        <v>208</v>
      </c>
      <c r="I26" s="494">
        <v>1091</v>
      </c>
      <c r="J26" s="487">
        <f t="shared" si="4"/>
        <v>1.861615903079942</v>
      </c>
      <c r="K26" s="486">
        <v>147520054.03</v>
      </c>
      <c r="L26" s="487">
        <f t="shared" si="5"/>
        <v>2.7999603564956654</v>
      </c>
    </row>
    <row r="27" spans="2:12" ht="13.5" thickBot="1">
      <c r="B27" s="209" t="s">
        <v>220</v>
      </c>
      <c r="C27" s="494">
        <v>55</v>
      </c>
      <c r="D27" s="487">
        <f t="shared" si="6"/>
        <v>9.3848647726303219E-2</v>
      </c>
      <c r="E27" s="486">
        <v>7036005.4900000002</v>
      </c>
      <c r="F27" s="487">
        <f t="shared" si="7"/>
        <v>0.13354480222790258</v>
      </c>
      <c r="H27" s="476" t="s">
        <v>137</v>
      </c>
      <c r="I27" s="494">
        <v>11</v>
      </c>
      <c r="J27" s="487">
        <f t="shared" si="4"/>
        <v>1.8769729545260645E-2</v>
      </c>
      <c r="K27" s="486">
        <v>618247.36</v>
      </c>
      <c r="L27" s="487">
        <f t="shared" si="5"/>
        <v>1.1734459493595834E-2</v>
      </c>
    </row>
    <row r="28" spans="2:12" ht="13.5" thickBot="1">
      <c r="B28" s="209" t="s">
        <v>221</v>
      </c>
      <c r="C28" s="494">
        <v>48</v>
      </c>
      <c r="D28" s="487">
        <f t="shared" si="6"/>
        <v>8.1904274379319172E-2</v>
      </c>
      <c r="E28" s="486">
        <v>5487888.5999999996</v>
      </c>
      <c r="F28" s="487">
        <f t="shared" si="7"/>
        <v>0.10416123165017045</v>
      </c>
      <c r="H28" s="474" t="s">
        <v>105</v>
      </c>
      <c r="I28" s="273">
        <f>SUM(I19:I27)</f>
        <v>58605</v>
      </c>
      <c r="J28" s="515">
        <f>SUM(J19:J27)</f>
        <v>100</v>
      </c>
      <c r="K28" s="273">
        <f>SUM(K19:K27)</f>
        <v>5268647953.8099985</v>
      </c>
      <c r="L28" s="515">
        <f>SUM(L19:L27)</f>
        <v>100.00000000000001</v>
      </c>
    </row>
    <row r="29" spans="2:12" ht="12.75" customHeight="1">
      <c r="B29" s="209" t="s">
        <v>222</v>
      </c>
      <c r="C29" s="494">
        <v>365</v>
      </c>
      <c r="D29" s="487">
        <f t="shared" si="6"/>
        <v>0.62281375309273956</v>
      </c>
      <c r="E29" s="486">
        <v>34477788.57</v>
      </c>
      <c r="F29" s="487">
        <f t="shared" si="7"/>
        <v>0.65439537566877171</v>
      </c>
      <c r="H29" s="706" t="s">
        <v>576</v>
      </c>
      <c r="I29" s="706"/>
      <c r="J29" s="706"/>
      <c r="K29" s="706"/>
      <c r="L29" s="706"/>
    </row>
    <row r="30" spans="2:12">
      <c r="B30" s="209" t="s">
        <v>223</v>
      </c>
      <c r="C30" s="494">
        <v>1176</v>
      </c>
      <c r="D30" s="487">
        <f t="shared" si="6"/>
        <v>2.0066547222933195</v>
      </c>
      <c r="E30" s="486">
        <v>106100029.68000001</v>
      </c>
      <c r="F30" s="487">
        <f t="shared" si="7"/>
        <v>2.0137999465930201</v>
      </c>
      <c r="H30" s="711"/>
      <c r="I30" s="711"/>
      <c r="J30" s="711"/>
      <c r="K30" s="711"/>
      <c r="L30" s="711"/>
    </row>
    <row r="31" spans="2:12" ht="13.5" thickBot="1">
      <c r="B31" s="209" t="s">
        <v>224</v>
      </c>
      <c r="C31" s="494">
        <v>738</v>
      </c>
      <c r="D31" s="487">
        <f t="shared" si="6"/>
        <v>1.2592782185820324</v>
      </c>
      <c r="E31" s="486">
        <v>82774870.189999998</v>
      </c>
      <c r="F31" s="487">
        <f t="shared" si="7"/>
        <v>1.5710837185494948</v>
      </c>
      <c r="H31" s="8"/>
      <c r="I31" s="547"/>
      <c r="K31" s="547"/>
      <c r="L31" s="8"/>
    </row>
    <row r="32" spans="2:12">
      <c r="B32" s="209" t="s">
        <v>225</v>
      </c>
      <c r="C32" s="494">
        <v>1048</v>
      </c>
      <c r="D32" s="487">
        <f t="shared" si="6"/>
        <v>1.7882433239484685</v>
      </c>
      <c r="E32" s="486">
        <v>110580544.92</v>
      </c>
      <c r="F32" s="487">
        <f t="shared" si="7"/>
        <v>2.0988410288456296</v>
      </c>
      <c r="H32" s="174" t="s">
        <v>226</v>
      </c>
      <c r="I32" s="174" t="s">
        <v>87</v>
      </c>
      <c r="J32" s="174" t="s">
        <v>123</v>
      </c>
      <c r="K32" s="472" t="s">
        <v>124</v>
      </c>
      <c r="L32" s="174" t="s">
        <v>123</v>
      </c>
    </row>
    <row r="33" spans="2:12" ht="13.5" thickBot="1">
      <c r="B33" s="209" t="s">
        <v>227</v>
      </c>
      <c r="C33" s="494">
        <v>1133</v>
      </c>
      <c r="D33" s="487">
        <f t="shared" si="6"/>
        <v>1.9332821431618463</v>
      </c>
      <c r="E33" s="486">
        <v>115912204.41</v>
      </c>
      <c r="F33" s="487">
        <f t="shared" si="7"/>
        <v>2.2000370005017813</v>
      </c>
      <c r="H33" s="203" t="s">
        <v>228</v>
      </c>
      <c r="I33" s="203" t="s">
        <v>127</v>
      </c>
      <c r="J33" s="203" t="s">
        <v>128</v>
      </c>
      <c r="K33" s="201" t="s">
        <v>108</v>
      </c>
      <c r="L33" s="203" t="s">
        <v>129</v>
      </c>
    </row>
    <row r="34" spans="2:12">
      <c r="B34" s="209" t="s">
        <v>229</v>
      </c>
      <c r="C34" s="494">
        <v>962</v>
      </c>
      <c r="D34" s="487">
        <f t="shared" si="6"/>
        <v>1.6414981656855219</v>
      </c>
      <c r="E34" s="486">
        <v>98411597.099999994</v>
      </c>
      <c r="F34" s="487">
        <f t="shared" si="7"/>
        <v>1.8678719467075815</v>
      </c>
      <c r="H34" s="475" t="s">
        <v>194</v>
      </c>
      <c r="I34" s="494">
        <v>4735</v>
      </c>
      <c r="J34" s="487">
        <f>(I34/$I$43)*100</f>
        <v>8.0795153997099209</v>
      </c>
      <c r="K34" s="486">
        <v>192198311.34</v>
      </c>
      <c r="L34" s="487">
        <f>(K34/$K$43)*100</f>
        <v>3.6479626846392841</v>
      </c>
    </row>
    <row r="35" spans="2:12">
      <c r="B35" s="209" t="s">
        <v>230</v>
      </c>
      <c r="C35" s="494">
        <v>568</v>
      </c>
      <c r="D35" s="487">
        <f t="shared" si="6"/>
        <v>0.96920058015527688</v>
      </c>
      <c r="E35" s="486">
        <v>57336866.68</v>
      </c>
      <c r="F35" s="487">
        <f t="shared" si="7"/>
        <v>1.0882652851864414</v>
      </c>
      <c r="H35" s="476" t="s">
        <v>196</v>
      </c>
      <c r="I35" s="494">
        <v>14290</v>
      </c>
      <c r="J35" s="487">
        <f t="shared" ref="J35:J42" si="8">(I35/$I$43)*100</f>
        <v>24.383585018343148</v>
      </c>
      <c r="K35" s="486">
        <v>814945874.75</v>
      </c>
      <c r="L35" s="487">
        <f t="shared" ref="L35:L42" si="9">(K35/$K$43)*100</f>
        <v>15.467836945922253</v>
      </c>
    </row>
    <row r="36" spans="2:12">
      <c r="B36" s="209" t="s">
        <v>231</v>
      </c>
      <c r="C36" s="494">
        <v>1352</v>
      </c>
      <c r="D36" s="487">
        <f t="shared" si="6"/>
        <v>2.30697039501749</v>
      </c>
      <c r="E36" s="486">
        <v>118079544.58</v>
      </c>
      <c r="F36" s="487">
        <f t="shared" si="7"/>
        <v>2.2411735537313953</v>
      </c>
      <c r="H36" s="476" t="s">
        <v>198</v>
      </c>
      <c r="I36" s="494">
        <v>21008</v>
      </c>
      <c r="J36" s="487">
        <f t="shared" si="8"/>
        <v>35.846770753348686</v>
      </c>
      <c r="K36" s="486">
        <v>2006250355.6400001</v>
      </c>
      <c r="L36" s="487">
        <f t="shared" si="9"/>
        <v>38.079036087222121</v>
      </c>
    </row>
    <row r="37" spans="2:12">
      <c r="B37" s="209" t="s">
        <v>232</v>
      </c>
      <c r="C37" s="494">
        <v>1571</v>
      </c>
      <c r="D37" s="487">
        <f t="shared" si="6"/>
        <v>2.6806586468731335</v>
      </c>
      <c r="E37" s="486">
        <v>164356845.36000001</v>
      </c>
      <c r="F37" s="487">
        <f t="shared" si="7"/>
        <v>3.1195260492048265</v>
      </c>
      <c r="H37" s="476" t="s">
        <v>200</v>
      </c>
      <c r="I37" s="494">
        <v>5037</v>
      </c>
      <c r="J37" s="487">
        <f t="shared" si="8"/>
        <v>8.5948297926798052</v>
      </c>
      <c r="K37" s="486">
        <v>615882735.52999997</v>
      </c>
      <c r="L37" s="487">
        <f t="shared" si="9"/>
        <v>11.689578444591785</v>
      </c>
    </row>
    <row r="38" spans="2:12">
      <c r="B38" s="209" t="s">
        <v>233</v>
      </c>
      <c r="C38" s="494">
        <v>2799</v>
      </c>
      <c r="D38" s="487">
        <f t="shared" si="6"/>
        <v>4.7760429997440488</v>
      </c>
      <c r="E38" s="486">
        <v>361672808.41000003</v>
      </c>
      <c r="F38" s="487">
        <f t="shared" si="7"/>
        <v>6.8646227947050038</v>
      </c>
      <c r="H38" s="476" t="s">
        <v>202</v>
      </c>
      <c r="I38" s="494">
        <v>4048</v>
      </c>
      <c r="J38" s="487">
        <f t="shared" si="8"/>
        <v>6.907260472655917</v>
      </c>
      <c r="K38" s="486">
        <v>516806640.00999999</v>
      </c>
      <c r="L38" s="487">
        <f t="shared" si="9"/>
        <v>9.8090941839504282</v>
      </c>
    </row>
    <row r="39" spans="2:12">
      <c r="B39" s="209" t="s">
        <v>234</v>
      </c>
      <c r="C39" s="494">
        <v>4092</v>
      </c>
      <c r="D39" s="487">
        <f t="shared" si="6"/>
        <v>6.9823393908369598</v>
      </c>
      <c r="E39" s="486">
        <v>547907364.51999998</v>
      </c>
      <c r="F39" s="487">
        <f t="shared" si="7"/>
        <v>10.399392203151155</v>
      </c>
      <c r="H39" s="476" t="s">
        <v>204</v>
      </c>
      <c r="I39" s="494">
        <v>5719</v>
      </c>
      <c r="J39" s="487">
        <f t="shared" si="8"/>
        <v>9.7585530244859644</v>
      </c>
      <c r="K39" s="486">
        <v>737447984.59000003</v>
      </c>
      <c r="L39" s="487">
        <f t="shared" si="9"/>
        <v>13.996911371858081</v>
      </c>
    </row>
    <row r="40" spans="2:12">
      <c r="B40" s="209" t="s">
        <v>235</v>
      </c>
      <c r="C40" s="494">
        <v>5775</v>
      </c>
      <c r="D40" s="487">
        <f t="shared" si="6"/>
        <v>9.8541080112618378</v>
      </c>
      <c r="E40" s="486">
        <v>634060417.79999995</v>
      </c>
      <c r="F40" s="487">
        <f t="shared" si="7"/>
        <v>12.034594517583622</v>
      </c>
      <c r="H40" s="476" t="s">
        <v>206</v>
      </c>
      <c r="I40" s="494">
        <v>3757</v>
      </c>
      <c r="J40" s="487">
        <f t="shared" si="8"/>
        <v>6.410715809231295</v>
      </c>
      <c r="K40" s="486">
        <v>384497804.58999997</v>
      </c>
      <c r="L40" s="487">
        <f t="shared" si="9"/>
        <v>7.2978458223224418</v>
      </c>
    </row>
    <row r="41" spans="2:12">
      <c r="B41" s="209" t="s">
        <v>236</v>
      </c>
      <c r="C41" s="494">
        <v>4755</v>
      </c>
      <c r="D41" s="487">
        <f t="shared" si="6"/>
        <v>8.1136421807013051</v>
      </c>
      <c r="E41" s="486">
        <v>493380797.70999998</v>
      </c>
      <c r="F41" s="487">
        <f t="shared" si="7"/>
        <v>9.3644669758816175</v>
      </c>
      <c r="H41" s="476" t="s">
        <v>208</v>
      </c>
      <c r="I41" s="494">
        <v>0</v>
      </c>
      <c r="J41" s="487">
        <f t="shared" si="8"/>
        <v>0</v>
      </c>
      <c r="K41" s="486">
        <v>0</v>
      </c>
      <c r="L41" s="487">
        <f t="shared" si="9"/>
        <v>0</v>
      </c>
    </row>
    <row r="42" spans="2:12" ht="13.5" thickBot="1">
      <c r="B42" s="209" t="s">
        <v>237</v>
      </c>
      <c r="C42" s="494">
        <v>5277</v>
      </c>
      <c r="D42" s="487">
        <f t="shared" si="6"/>
        <v>9.0043511645764021</v>
      </c>
      <c r="E42" s="486">
        <v>512841614.57999998</v>
      </c>
      <c r="F42" s="487">
        <f t="shared" si="7"/>
        <v>9.7338372021827873</v>
      </c>
      <c r="H42" s="476" t="s">
        <v>137</v>
      </c>
      <c r="I42" s="494">
        <v>11</v>
      </c>
      <c r="J42" s="487">
        <f t="shared" si="8"/>
        <v>1.8769729545260645E-2</v>
      </c>
      <c r="K42" s="486">
        <v>618247.36</v>
      </c>
      <c r="L42" s="487">
        <f t="shared" si="9"/>
        <v>1.173445949359583E-2</v>
      </c>
    </row>
    <row r="43" spans="2:12" ht="13.5" thickBot="1">
      <c r="B43" s="209" t="s">
        <v>238</v>
      </c>
      <c r="C43" s="494">
        <v>3499</v>
      </c>
      <c r="D43" s="487">
        <f t="shared" si="6"/>
        <v>5.9704803344424535</v>
      </c>
      <c r="E43" s="486">
        <v>309124505.20999998</v>
      </c>
      <c r="F43" s="487">
        <f t="shared" si="7"/>
        <v>5.8672454094500273</v>
      </c>
      <c r="H43" s="474" t="s">
        <v>105</v>
      </c>
      <c r="I43" s="273">
        <f>SUM(I34:I42)</f>
        <v>58605</v>
      </c>
      <c r="J43" s="515">
        <v>100</v>
      </c>
      <c r="K43" s="273">
        <f>SUM(K34:K42)</f>
        <v>5268647953.8100004</v>
      </c>
      <c r="L43" s="515">
        <f>SUM(L34:L42)</f>
        <v>99.999999999999986</v>
      </c>
    </row>
    <row r="44" spans="2:12" ht="12.75" customHeight="1">
      <c r="B44" s="209" t="s">
        <v>239</v>
      </c>
      <c r="C44" s="494">
        <v>2959</v>
      </c>
      <c r="D44" s="487">
        <f t="shared" si="6"/>
        <v>5.0490572476751128</v>
      </c>
      <c r="E44" s="486">
        <v>238659876.91999999</v>
      </c>
      <c r="F44" s="487">
        <f t="shared" si="7"/>
        <v>4.5298125631532118</v>
      </c>
      <c r="H44" s="712" t="s">
        <v>577</v>
      </c>
      <c r="I44" s="712"/>
      <c r="J44" s="712"/>
      <c r="K44" s="712"/>
      <c r="L44" s="712"/>
    </row>
    <row r="45" spans="2:12">
      <c r="B45" s="209" t="s">
        <v>240</v>
      </c>
      <c r="C45" s="494">
        <v>2324</v>
      </c>
      <c r="D45" s="487">
        <f t="shared" si="6"/>
        <v>3.9655319511987033</v>
      </c>
      <c r="E45" s="486">
        <v>177528927.58000001</v>
      </c>
      <c r="F45" s="487">
        <f t="shared" si="7"/>
        <v>3.3695348244253207</v>
      </c>
      <c r="H45" s="478"/>
      <c r="I45" s="547"/>
      <c r="K45" s="547"/>
      <c r="L45" s="478"/>
    </row>
    <row r="46" spans="2:12" ht="15">
      <c r="B46" s="209" t="s">
        <v>241</v>
      </c>
      <c r="C46" s="494">
        <v>2959</v>
      </c>
      <c r="D46" s="487">
        <f t="shared" si="6"/>
        <v>5.0490572476751128</v>
      </c>
      <c r="E46" s="486">
        <v>202483767.91999999</v>
      </c>
      <c r="F46" s="487">
        <f t="shared" si="7"/>
        <v>3.8431827234456755</v>
      </c>
      <c r="I46" s="210"/>
      <c r="J46" s="266"/>
      <c r="K46" s="210"/>
      <c r="L46" s="266"/>
    </row>
    <row r="47" spans="2:12" ht="15">
      <c r="B47" s="209" t="s">
        <v>242</v>
      </c>
      <c r="C47" s="494">
        <v>3201</v>
      </c>
      <c r="D47" s="487">
        <f t="shared" si="6"/>
        <v>5.4619912976708473</v>
      </c>
      <c r="E47" s="486">
        <v>214276606.19999999</v>
      </c>
      <c r="F47" s="487">
        <f t="shared" si="7"/>
        <v>4.0670131707138797</v>
      </c>
      <c r="I47" s="210"/>
      <c r="J47" s="266"/>
      <c r="K47" s="210"/>
      <c r="L47" s="266"/>
    </row>
    <row r="48" spans="2:12" ht="15">
      <c r="B48" s="209" t="s">
        <v>243</v>
      </c>
      <c r="C48" s="494">
        <v>2625</v>
      </c>
      <c r="D48" s="487">
        <f t="shared" si="6"/>
        <v>4.4791400051190173</v>
      </c>
      <c r="E48" s="486">
        <v>164679272.27000001</v>
      </c>
      <c r="F48" s="487">
        <f t="shared" si="7"/>
        <v>3.1256457769381409</v>
      </c>
      <c r="I48" s="210"/>
      <c r="J48" s="266"/>
      <c r="K48" s="210"/>
      <c r="L48" s="266"/>
    </row>
    <row r="49" spans="2:12" ht="15">
      <c r="B49" s="209" t="s">
        <v>244</v>
      </c>
      <c r="C49" s="494">
        <v>2717</v>
      </c>
      <c r="D49" s="487">
        <f t="shared" si="6"/>
        <v>4.6361231976793791</v>
      </c>
      <c r="E49" s="486">
        <v>154611994.28</v>
      </c>
      <c r="F49" s="487">
        <f t="shared" si="7"/>
        <v>2.9345668117413886</v>
      </c>
      <c r="I49" s="210"/>
      <c r="J49" s="266"/>
      <c r="K49" s="210"/>
      <c r="L49" s="266"/>
    </row>
    <row r="50" spans="2:12" ht="15">
      <c r="B50" s="209" t="s">
        <v>245</v>
      </c>
      <c r="C50" s="494">
        <v>1977</v>
      </c>
      <c r="D50" s="487">
        <f t="shared" si="6"/>
        <v>3.3734323009982079</v>
      </c>
      <c r="E50" s="486">
        <v>102085869.86</v>
      </c>
      <c r="F50" s="487">
        <f t="shared" si="7"/>
        <v>1.9376103842006953</v>
      </c>
      <c r="I50" s="210"/>
      <c r="J50" s="266"/>
      <c r="K50" s="210"/>
      <c r="L50" s="266"/>
    </row>
    <row r="51" spans="2:12" ht="15.75" thickBot="1">
      <c r="B51" s="209" t="s">
        <v>246</v>
      </c>
      <c r="C51" s="494">
        <v>4408</v>
      </c>
      <c r="D51" s="487">
        <f t="shared" si="6"/>
        <v>7.5215425305008106</v>
      </c>
      <c r="E51" s="486">
        <v>219411240.19</v>
      </c>
      <c r="F51" s="487">
        <f t="shared" si="7"/>
        <v>4.1644695586717599</v>
      </c>
      <c r="I51" s="210"/>
      <c r="J51" s="266"/>
      <c r="K51" s="210"/>
      <c r="L51" s="266"/>
    </row>
    <row r="52" spans="2:12" ht="15.75" thickBot="1">
      <c r="B52" s="274" t="s">
        <v>105</v>
      </c>
      <c r="C52" s="275">
        <f>SUM(C21:C51)</f>
        <v>58605</v>
      </c>
      <c r="D52" s="514">
        <f>SUM(D21:D51)</f>
        <v>100</v>
      </c>
      <c r="E52" s="275">
        <f>SUM(E21:E51)</f>
        <v>5268647953.8099995</v>
      </c>
      <c r="F52" s="276">
        <f>SUM(F21:F51)</f>
        <v>100</v>
      </c>
      <c r="I52" s="210"/>
      <c r="J52" s="266"/>
      <c r="K52" s="210"/>
      <c r="L52" s="266"/>
    </row>
    <row r="53" spans="2:12" ht="12.75" customHeight="1">
      <c r="B53" s="709" t="s">
        <v>578</v>
      </c>
      <c r="C53" s="709"/>
      <c r="D53" s="709"/>
      <c r="E53" s="709"/>
      <c r="F53" s="709"/>
      <c r="I53" s="210"/>
      <c r="J53" s="266"/>
      <c r="K53" s="210"/>
      <c r="L53" s="266"/>
    </row>
    <row r="54" spans="2:12" ht="15">
      <c r="B54" s="710"/>
      <c r="C54" s="710"/>
      <c r="D54" s="710"/>
      <c r="E54" s="710"/>
      <c r="F54" s="710"/>
      <c r="I54" s="210"/>
      <c r="J54" s="266"/>
      <c r="K54" s="210"/>
      <c r="L54" s="266"/>
    </row>
    <row r="55" spans="2:12" ht="15">
      <c r="B55" s="479"/>
      <c r="C55" s="547"/>
      <c r="D55" s="53"/>
      <c r="E55" s="547"/>
      <c r="F55" s="278"/>
      <c r="I55" s="210"/>
      <c r="J55" s="266"/>
      <c r="K55" s="210"/>
      <c r="L55" s="266"/>
    </row>
    <row r="56" spans="2:12" ht="15">
      <c r="B56" s="479"/>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March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60"/>
  <sheetViews>
    <sheetView view="pageLayout" zoomScale="70" zoomScaleNormal="70" zoomScaleSheetLayoutView="70" zoomScalePageLayoutView="70" workbookViewId="0"/>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1.5703125" style="53" customWidth="1"/>
    <col min="20" max="20" width="15.7109375" style="53" customWidth="1"/>
    <col min="21" max="21" width="1.7109375" style="248" hidden="1" customWidth="1"/>
    <col min="22" max="16384" width="9.140625" style="53"/>
  </cols>
  <sheetData>
    <row r="2" spans="2:20" ht="12.75" thickBot="1">
      <c r="B2" s="280" t="s">
        <v>247</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713"/>
      <c r="D4" s="713"/>
      <c r="E4" s="713"/>
      <c r="F4" s="714"/>
      <c r="G4" s="598"/>
      <c r="H4" s="288"/>
      <c r="I4" s="32"/>
      <c r="J4" s="32"/>
      <c r="K4" s="289"/>
      <c r="L4" s="31"/>
      <c r="M4" s="32"/>
      <c r="N4" s="32"/>
      <c r="O4" s="32"/>
      <c r="P4" s="32"/>
      <c r="Q4" s="32"/>
      <c r="R4" s="32"/>
      <c r="S4" s="32"/>
      <c r="T4" s="32"/>
    </row>
    <row r="5" spans="2:20">
      <c r="B5" s="290" t="s">
        <v>248</v>
      </c>
      <c r="C5" s="291">
        <v>40494</v>
      </c>
      <c r="D5" s="291"/>
      <c r="E5" s="292"/>
      <c r="F5" s="32"/>
      <c r="G5" s="222"/>
      <c r="H5" s="293"/>
      <c r="I5" s="596"/>
      <c r="J5" s="715" t="s">
        <v>249</v>
      </c>
      <c r="K5" s="715"/>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250</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2:20">
      <c r="B8" s="300"/>
      <c r="C8" s="194"/>
      <c r="D8" s="194"/>
      <c r="E8" s="194"/>
      <c r="F8" s="351"/>
      <c r="G8" s="194"/>
      <c r="H8" s="301"/>
      <c r="I8" s="302"/>
      <c r="J8" s="303"/>
      <c r="K8" s="304"/>
      <c r="L8" s="305"/>
      <c r="M8" s="352"/>
      <c r="N8" s="353"/>
      <c r="O8" s="306"/>
      <c r="P8" s="353"/>
      <c r="Q8" s="354"/>
      <c r="R8" s="307"/>
      <c r="S8" s="308"/>
      <c r="T8" s="309"/>
    </row>
    <row r="9" spans="2:20">
      <c r="B9" s="310" t="s">
        <v>269</v>
      </c>
      <c r="C9" s="311" t="s">
        <v>270</v>
      </c>
      <c r="D9" s="311" t="s">
        <v>271</v>
      </c>
      <c r="E9" s="311" t="s">
        <v>272</v>
      </c>
      <c r="F9" s="238" t="s">
        <v>272</v>
      </c>
      <c r="G9" s="311" t="s">
        <v>273</v>
      </c>
      <c r="H9" s="288">
        <v>1.629</v>
      </c>
      <c r="I9" s="355">
        <v>500000000</v>
      </c>
      <c r="J9" s="312">
        <v>-500000000</v>
      </c>
      <c r="K9" s="313">
        <v>0</v>
      </c>
      <c r="L9" s="314" t="s">
        <v>274</v>
      </c>
      <c r="M9" s="356">
        <v>1.5E-3</v>
      </c>
      <c r="N9" s="315"/>
      <c r="O9" s="360" t="s">
        <v>275</v>
      </c>
      <c r="P9" s="360" t="s">
        <v>275</v>
      </c>
      <c r="Q9" s="360" t="s">
        <v>275</v>
      </c>
      <c r="R9" s="316" t="s">
        <v>276</v>
      </c>
      <c r="S9" s="317">
        <v>40817</v>
      </c>
      <c r="T9" s="318" t="s">
        <v>277</v>
      </c>
    </row>
    <row r="10" spans="2:20">
      <c r="B10" s="310" t="s">
        <v>278</v>
      </c>
      <c r="C10" s="311" t="s">
        <v>279</v>
      </c>
      <c r="D10" s="311" t="s">
        <v>280</v>
      </c>
      <c r="E10" s="311" t="s">
        <v>281</v>
      </c>
      <c r="F10" s="238" t="s">
        <v>281</v>
      </c>
      <c r="G10" s="311" t="s">
        <v>273</v>
      </c>
      <c r="H10" s="288">
        <v>1.6279999999999999</v>
      </c>
      <c r="I10" s="355">
        <v>900000000</v>
      </c>
      <c r="J10" s="312">
        <v>-900000000</v>
      </c>
      <c r="K10" s="313">
        <v>0</v>
      </c>
      <c r="L10" s="314" t="s">
        <v>282</v>
      </c>
      <c r="M10" s="356">
        <v>1.4E-2</v>
      </c>
      <c r="N10" s="315"/>
      <c r="O10" s="360" t="s">
        <v>275</v>
      </c>
      <c r="P10" s="360" t="s">
        <v>275</v>
      </c>
      <c r="Q10" s="360" t="s">
        <v>275</v>
      </c>
      <c r="R10" s="316">
        <v>41730</v>
      </c>
      <c r="S10" s="317">
        <v>56523</v>
      </c>
      <c r="T10" s="318" t="s">
        <v>283</v>
      </c>
    </row>
    <row r="11" spans="2:20">
      <c r="B11" s="310" t="s">
        <v>284</v>
      </c>
      <c r="C11" s="311" t="s">
        <v>285</v>
      </c>
      <c r="D11" s="311" t="s">
        <v>286</v>
      </c>
      <c r="E11" s="311" t="s">
        <v>281</v>
      </c>
      <c r="F11" s="238" t="s">
        <v>281</v>
      </c>
      <c r="G11" s="311" t="s">
        <v>287</v>
      </c>
      <c r="H11" s="288">
        <v>1.1412919424788861</v>
      </c>
      <c r="I11" s="355">
        <v>500000000</v>
      </c>
      <c r="J11" s="312">
        <v>-500000000</v>
      </c>
      <c r="K11" s="313">
        <v>0</v>
      </c>
      <c r="L11" s="314" t="s">
        <v>288</v>
      </c>
      <c r="M11" s="356">
        <v>1.4E-2</v>
      </c>
      <c r="N11" s="315"/>
      <c r="O11" s="360" t="s">
        <v>275</v>
      </c>
      <c r="P11" s="360" t="s">
        <v>275</v>
      </c>
      <c r="Q11" s="360" t="s">
        <v>275</v>
      </c>
      <c r="R11" s="316">
        <v>41730</v>
      </c>
      <c r="S11" s="317">
        <v>56523</v>
      </c>
      <c r="T11" s="318" t="s">
        <v>283</v>
      </c>
    </row>
    <row r="12" spans="2:20" ht="13.5" customHeight="1">
      <c r="B12" s="310" t="s">
        <v>289</v>
      </c>
      <c r="C12" s="311" t="s">
        <v>290</v>
      </c>
      <c r="D12" s="311" t="s">
        <v>291</v>
      </c>
      <c r="E12" s="311" t="s">
        <v>281</v>
      </c>
      <c r="F12" s="238" t="s">
        <v>281</v>
      </c>
      <c r="G12" s="311" t="s">
        <v>287</v>
      </c>
      <c r="H12" s="288">
        <v>1.1412919424788861</v>
      </c>
      <c r="I12" s="355">
        <v>750000000</v>
      </c>
      <c r="J12" s="312">
        <v>-750000000.25</v>
      </c>
      <c r="K12" s="313">
        <v>-0.25</v>
      </c>
      <c r="L12" s="314" t="s">
        <v>288</v>
      </c>
      <c r="M12" s="356">
        <v>1.4999999999999999E-2</v>
      </c>
      <c r="N12" s="357"/>
      <c r="O12" s="323" t="s">
        <v>275</v>
      </c>
      <c r="P12" s="324" t="s">
        <v>275</v>
      </c>
      <c r="Q12" s="322" t="s">
        <v>275</v>
      </c>
      <c r="R12" s="316">
        <v>42370</v>
      </c>
      <c r="S12" s="317">
        <v>56523</v>
      </c>
      <c r="T12" s="318" t="s">
        <v>283</v>
      </c>
    </row>
    <row r="13" spans="2:20">
      <c r="B13" s="310" t="s">
        <v>292</v>
      </c>
      <c r="C13" s="582" t="s">
        <v>555</v>
      </c>
      <c r="D13" s="582" t="s">
        <v>556</v>
      </c>
      <c r="E13" s="311" t="s">
        <v>281</v>
      </c>
      <c r="F13" s="238" t="s">
        <v>281</v>
      </c>
      <c r="G13" s="311" t="s">
        <v>293</v>
      </c>
      <c r="H13" s="288" t="s">
        <v>275</v>
      </c>
      <c r="I13" s="313">
        <v>375000000</v>
      </c>
      <c r="J13" s="312">
        <f>K13-I13</f>
        <v>0</v>
      </c>
      <c r="K13" s="313">
        <v>375000000</v>
      </c>
      <c r="L13" s="314" t="s">
        <v>294</v>
      </c>
      <c r="M13" s="581">
        <v>0</v>
      </c>
      <c r="N13" s="581">
        <v>4.0090000000000001E-2</v>
      </c>
      <c r="O13" s="324" t="s">
        <v>568</v>
      </c>
      <c r="P13" s="324">
        <v>42843</v>
      </c>
      <c r="Q13" s="322">
        <v>7516875</v>
      </c>
      <c r="R13" s="316">
        <v>43009</v>
      </c>
      <c r="S13" s="317">
        <v>56523</v>
      </c>
      <c r="T13" s="318" t="s">
        <v>277</v>
      </c>
    </row>
    <row r="14" spans="2:20">
      <c r="B14" s="310" t="s">
        <v>84</v>
      </c>
      <c r="C14" s="311" t="s">
        <v>295</v>
      </c>
      <c r="D14" s="311" t="s">
        <v>276</v>
      </c>
      <c r="E14" s="311" t="s">
        <v>276</v>
      </c>
      <c r="F14" s="238" t="s">
        <v>276</v>
      </c>
      <c r="G14" s="311" t="s">
        <v>293</v>
      </c>
      <c r="H14" s="288" t="s">
        <v>275</v>
      </c>
      <c r="I14" s="355">
        <v>600000000</v>
      </c>
      <c r="J14" s="312">
        <v>-600000000</v>
      </c>
      <c r="K14" s="313">
        <v>0</v>
      </c>
      <c r="L14" s="314" t="s">
        <v>296</v>
      </c>
      <c r="M14" s="356">
        <v>8.9999999999999993E-3</v>
      </c>
      <c r="N14" s="367" t="s">
        <v>275</v>
      </c>
      <c r="O14" s="323" t="s">
        <v>275</v>
      </c>
      <c r="P14" s="321" t="s">
        <v>275</v>
      </c>
      <c r="Q14" s="322" t="s">
        <v>275</v>
      </c>
      <c r="R14" s="316" t="s">
        <v>276</v>
      </c>
      <c r="S14" s="317">
        <v>56523</v>
      </c>
      <c r="T14" s="318" t="s">
        <v>297</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248</v>
      </c>
      <c r="C19" s="291">
        <v>40807</v>
      </c>
      <c r="D19" s="291"/>
      <c r="E19" s="292"/>
      <c r="F19" s="32"/>
      <c r="G19" s="222"/>
      <c r="H19" s="293"/>
      <c r="I19" s="32"/>
      <c r="J19" s="715" t="s">
        <v>299</v>
      </c>
      <c r="K19" s="715"/>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300</v>
      </c>
      <c r="C21" s="237" t="s">
        <v>251</v>
      </c>
      <c r="D21" s="237" t="s">
        <v>252</v>
      </c>
      <c r="E21" s="237" t="s">
        <v>253</v>
      </c>
      <c r="F21" s="237" t="s">
        <v>254</v>
      </c>
      <c r="G21" s="297" t="s">
        <v>255</v>
      </c>
      <c r="H21" s="298" t="s">
        <v>256</v>
      </c>
      <c r="I21" s="297" t="s">
        <v>257</v>
      </c>
      <c r="J21" s="297" t="s">
        <v>258</v>
      </c>
      <c r="K21" s="299" t="s">
        <v>259</v>
      </c>
      <c r="L21" s="297" t="s">
        <v>260</v>
      </c>
      <c r="M21" s="297" t="s">
        <v>261</v>
      </c>
      <c r="N21" s="297" t="s">
        <v>262</v>
      </c>
      <c r="O21" s="297" t="s">
        <v>263</v>
      </c>
      <c r="P21" s="297" t="s">
        <v>264</v>
      </c>
      <c r="Q21" s="297" t="s">
        <v>265</v>
      </c>
      <c r="R21" s="297" t="s">
        <v>266</v>
      </c>
      <c r="S21" s="297" t="s">
        <v>267</v>
      </c>
      <c r="T21" s="297" t="s">
        <v>268</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269</v>
      </c>
      <c r="C23" s="311" t="s">
        <v>301</v>
      </c>
      <c r="D23" s="311" t="s">
        <v>302</v>
      </c>
      <c r="E23" s="311" t="s">
        <v>298</v>
      </c>
      <c r="F23" s="238" t="s">
        <v>298</v>
      </c>
      <c r="G23" s="311" t="s">
        <v>273</v>
      </c>
      <c r="H23" s="288">
        <v>1.5793999999999999</v>
      </c>
      <c r="I23" s="355">
        <v>500000000</v>
      </c>
      <c r="J23" s="312">
        <v>-500000000</v>
      </c>
      <c r="K23" s="313">
        <v>0</v>
      </c>
      <c r="L23" s="314" t="s">
        <v>274</v>
      </c>
      <c r="M23" s="356">
        <v>1.2999999999999999E-3</v>
      </c>
      <c r="N23" s="315"/>
      <c r="O23" s="315" t="s">
        <v>275</v>
      </c>
      <c r="P23" s="315" t="s">
        <v>275</v>
      </c>
      <c r="Q23" s="315" t="s">
        <v>275</v>
      </c>
      <c r="R23" s="316" t="s">
        <v>276</v>
      </c>
      <c r="S23" s="317">
        <v>41091</v>
      </c>
      <c r="T23" s="318" t="s">
        <v>277</v>
      </c>
    </row>
    <row r="24" spans="2:20">
      <c r="B24" s="310" t="s">
        <v>278</v>
      </c>
      <c r="C24" s="311" t="s">
        <v>303</v>
      </c>
      <c r="D24" s="311" t="s">
        <v>304</v>
      </c>
      <c r="E24" s="311" t="s">
        <v>281</v>
      </c>
      <c r="F24" s="238" t="s">
        <v>281</v>
      </c>
      <c r="G24" s="311" t="s">
        <v>273</v>
      </c>
      <c r="H24" s="288">
        <v>1.5767500000000001</v>
      </c>
      <c r="I24" s="355">
        <v>2000000000</v>
      </c>
      <c r="J24" s="312">
        <v>-2000000000</v>
      </c>
      <c r="K24" s="313">
        <v>0</v>
      </c>
      <c r="L24" s="314" t="s">
        <v>282</v>
      </c>
      <c r="M24" s="356">
        <v>1.55E-2</v>
      </c>
      <c r="N24" s="315"/>
      <c r="O24" s="315" t="s">
        <v>275</v>
      </c>
      <c r="P24" s="315" t="s">
        <v>275</v>
      </c>
      <c r="Q24" s="315" t="s">
        <v>275</v>
      </c>
      <c r="R24" s="316">
        <v>42005</v>
      </c>
      <c r="S24" s="317">
        <v>56523</v>
      </c>
      <c r="T24" s="318" t="s">
        <v>283</v>
      </c>
    </row>
    <row r="25" spans="2:20">
      <c r="B25" s="310" t="s">
        <v>284</v>
      </c>
      <c r="C25" s="311" t="s">
        <v>305</v>
      </c>
      <c r="D25" s="311" t="s">
        <v>306</v>
      </c>
      <c r="E25" s="311" t="s">
        <v>281</v>
      </c>
      <c r="F25" s="238" t="s">
        <v>281</v>
      </c>
      <c r="G25" s="311" t="s">
        <v>287</v>
      </c>
      <c r="H25" s="288">
        <v>1.1458691417440128</v>
      </c>
      <c r="I25" s="355">
        <v>200000000</v>
      </c>
      <c r="J25" s="312">
        <v>-200000000</v>
      </c>
      <c r="K25" s="313">
        <v>0</v>
      </c>
      <c r="L25" s="314" t="s">
        <v>288</v>
      </c>
      <c r="M25" s="356">
        <v>1.4E-2</v>
      </c>
      <c r="N25" s="360"/>
      <c r="O25" s="360" t="s">
        <v>275</v>
      </c>
      <c r="P25" s="360" t="s">
        <v>275</v>
      </c>
      <c r="Q25" s="360" t="s">
        <v>275</v>
      </c>
      <c r="R25" s="316">
        <v>42005</v>
      </c>
      <c r="S25" s="317">
        <v>56523</v>
      </c>
      <c r="T25" s="318" t="s">
        <v>283</v>
      </c>
    </row>
    <row r="26" spans="2:20" s="248" customFormat="1" ht="13.5" customHeight="1">
      <c r="B26" s="310" t="s">
        <v>289</v>
      </c>
      <c r="C26" s="311" t="s">
        <v>307</v>
      </c>
      <c r="D26" s="311" t="s">
        <v>308</v>
      </c>
      <c r="E26" s="311" t="s">
        <v>281</v>
      </c>
      <c r="F26" s="238" t="s">
        <v>281</v>
      </c>
      <c r="G26" s="311" t="s">
        <v>293</v>
      </c>
      <c r="H26" s="288" t="s">
        <v>275</v>
      </c>
      <c r="I26" s="355">
        <v>165000000</v>
      </c>
      <c r="J26" s="312">
        <f>K26-I26</f>
        <v>-165000000</v>
      </c>
      <c r="K26" s="313">
        <v>0</v>
      </c>
      <c r="L26" s="314" t="s">
        <v>296</v>
      </c>
      <c r="M26" s="356">
        <v>1.6500000000000001E-2</v>
      </c>
      <c r="N26" s="367" t="s">
        <v>275</v>
      </c>
      <c r="O26" s="323" t="s">
        <v>275</v>
      </c>
      <c r="P26" s="324" t="s">
        <v>275</v>
      </c>
      <c r="Q26" s="322" t="s">
        <v>275</v>
      </c>
      <c r="R26" s="316">
        <v>42644</v>
      </c>
      <c r="S26" s="317">
        <v>56523</v>
      </c>
      <c r="T26" s="318" t="s">
        <v>283</v>
      </c>
    </row>
    <row r="27" spans="2:20" s="248" customFormat="1">
      <c r="B27" s="310" t="s">
        <v>292</v>
      </c>
      <c r="C27" s="311" t="s">
        <v>309</v>
      </c>
      <c r="D27" s="311" t="s">
        <v>310</v>
      </c>
      <c r="E27" s="311" t="s">
        <v>281</v>
      </c>
      <c r="F27" s="238" t="s">
        <v>281</v>
      </c>
      <c r="G27" s="311" t="s">
        <v>273</v>
      </c>
      <c r="H27" s="288">
        <v>1.58</v>
      </c>
      <c r="I27" s="355">
        <v>500000000</v>
      </c>
      <c r="J27" s="312">
        <f>K27-I27</f>
        <v>0</v>
      </c>
      <c r="K27" s="313">
        <v>500000000</v>
      </c>
      <c r="L27" s="314" t="s">
        <v>311</v>
      </c>
      <c r="M27" s="356">
        <v>0</v>
      </c>
      <c r="N27" s="367">
        <v>3.6150000000000002E-2</v>
      </c>
      <c r="O27" s="323" t="s">
        <v>569</v>
      </c>
      <c r="P27" s="324">
        <v>42933</v>
      </c>
      <c r="Q27" s="322">
        <v>9037500</v>
      </c>
      <c r="R27" s="316">
        <v>43466</v>
      </c>
      <c r="S27" s="317">
        <v>56523</v>
      </c>
      <c r="T27" s="318" t="s">
        <v>283</v>
      </c>
    </row>
    <row r="28" spans="2:20">
      <c r="B28" s="310" t="s">
        <v>312</v>
      </c>
      <c r="C28" s="311" t="s">
        <v>313</v>
      </c>
      <c r="D28" s="311" t="s">
        <v>314</v>
      </c>
      <c r="E28" s="311" t="s">
        <v>281</v>
      </c>
      <c r="F28" s="238" t="s">
        <v>281</v>
      </c>
      <c r="G28" s="311" t="s">
        <v>273</v>
      </c>
      <c r="H28" s="288">
        <v>1.58</v>
      </c>
      <c r="I28" s="355">
        <v>250000000</v>
      </c>
      <c r="J28" s="312">
        <f>I28-K28</f>
        <v>0</v>
      </c>
      <c r="K28" s="355">
        <v>250000000</v>
      </c>
      <c r="L28" s="314" t="s">
        <v>282</v>
      </c>
      <c r="M28" s="356">
        <v>1.7500000000000002E-2</v>
      </c>
      <c r="N28" s="367">
        <v>2.7731700000000001E-2</v>
      </c>
      <c r="O28" s="323" t="s">
        <v>570</v>
      </c>
      <c r="P28" s="324">
        <v>42843</v>
      </c>
      <c r="Q28" s="322">
        <v>1752489.38</v>
      </c>
      <c r="R28" s="316">
        <v>43466</v>
      </c>
      <c r="S28" s="317">
        <v>56523</v>
      </c>
      <c r="T28" s="318" t="s">
        <v>283</v>
      </c>
    </row>
    <row r="29" spans="2:20" ht="12.75" thickBot="1">
      <c r="B29" s="325"/>
      <c r="C29" s="326"/>
      <c r="D29" s="326"/>
      <c r="E29" s="326"/>
      <c r="F29" s="330"/>
      <c r="G29" s="326"/>
      <c r="H29" s="328"/>
      <c r="I29" s="326"/>
      <c r="J29" s="330"/>
      <c r="K29" s="331"/>
      <c r="L29" s="330"/>
      <c r="M29" s="326"/>
      <c r="N29" s="330"/>
      <c r="O29" s="326"/>
      <c r="P29" s="330" t="s">
        <v>393</v>
      </c>
      <c r="Q29" s="358" t="s">
        <v>553</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c r="S32" s="359"/>
    </row>
    <row r="33" spans="2:20">
      <c r="B33" s="290" t="s">
        <v>248</v>
      </c>
      <c r="C33" s="291">
        <v>40933</v>
      </c>
      <c r="D33" s="291"/>
      <c r="E33" s="292"/>
      <c r="F33" s="32"/>
      <c r="G33" s="222"/>
      <c r="H33" s="293"/>
      <c r="I33" s="32"/>
      <c r="J33" s="715" t="s">
        <v>315</v>
      </c>
      <c r="K33" s="715"/>
      <c r="L33" s="32"/>
      <c r="M33" s="32"/>
      <c r="N33" s="32"/>
      <c r="O33" s="32"/>
      <c r="Q33" s="359"/>
      <c r="S33" s="359"/>
      <c r="T33" s="32"/>
    </row>
    <row r="34" spans="2:20" ht="10.5" customHeight="1" thickBot="1">
      <c r="B34" s="294"/>
      <c r="C34" s="294"/>
      <c r="D34" s="294"/>
      <c r="E34" s="294"/>
      <c r="F34" s="294"/>
      <c r="G34" s="222"/>
      <c r="H34" s="295"/>
      <c r="I34" s="294"/>
      <c r="J34" s="294"/>
      <c r="K34" s="296"/>
      <c r="L34" s="294"/>
      <c r="M34" s="294"/>
      <c r="N34" s="294"/>
      <c r="O34" s="294"/>
      <c r="P34" s="294"/>
      <c r="Q34" s="294"/>
      <c r="R34" s="294"/>
      <c r="S34" s="294"/>
      <c r="T34" s="294"/>
    </row>
    <row r="35" spans="2:20" ht="54" customHeight="1" thickBot="1">
      <c r="B35" s="237" t="s">
        <v>316</v>
      </c>
      <c r="C35" s="237" t="s">
        <v>251</v>
      </c>
      <c r="D35" s="237" t="s">
        <v>252</v>
      </c>
      <c r="E35" s="237" t="s">
        <v>253</v>
      </c>
      <c r="F35" s="237" t="s">
        <v>254</v>
      </c>
      <c r="G35" s="297" t="s">
        <v>255</v>
      </c>
      <c r="H35" s="298" t="s">
        <v>256</v>
      </c>
      <c r="I35" s="297" t="s">
        <v>257</v>
      </c>
      <c r="J35" s="297" t="s">
        <v>258</v>
      </c>
      <c r="K35" s="299" t="s">
        <v>259</v>
      </c>
      <c r="L35" s="297" t="s">
        <v>260</v>
      </c>
      <c r="M35" s="297" t="s">
        <v>261</v>
      </c>
      <c r="N35" s="297" t="s">
        <v>262</v>
      </c>
      <c r="O35" s="297" t="s">
        <v>263</v>
      </c>
      <c r="P35" s="297" t="s">
        <v>264</v>
      </c>
      <c r="Q35" s="297" t="s">
        <v>265</v>
      </c>
      <c r="R35" s="297" t="s">
        <v>266</v>
      </c>
      <c r="S35" s="297" t="s">
        <v>267</v>
      </c>
      <c r="T35" s="297" t="s">
        <v>268</v>
      </c>
    </row>
    <row r="36" spans="2:20">
      <c r="B36" s="300"/>
      <c r="C36" s="194"/>
      <c r="D36" s="194"/>
      <c r="E36" s="194"/>
      <c r="F36" s="351"/>
      <c r="G36" s="194"/>
      <c r="H36" s="301"/>
      <c r="I36" s="302"/>
      <c r="J36" s="303"/>
      <c r="K36" s="304"/>
      <c r="L36" s="305"/>
      <c r="M36" s="352"/>
      <c r="N36" s="353"/>
      <c r="O36" s="306"/>
      <c r="P36" s="353"/>
      <c r="Q36" s="354"/>
      <c r="R36" s="307"/>
      <c r="S36" s="308"/>
      <c r="T36" s="309"/>
    </row>
    <row r="37" spans="2:20">
      <c r="B37" s="310" t="s">
        <v>269</v>
      </c>
      <c r="C37" s="311" t="s">
        <v>317</v>
      </c>
      <c r="D37" s="311" t="s">
        <v>318</v>
      </c>
      <c r="E37" s="311" t="s">
        <v>298</v>
      </c>
      <c r="F37" s="238" t="s">
        <v>298</v>
      </c>
      <c r="G37" s="311" t="s">
        <v>273</v>
      </c>
      <c r="H37" s="288">
        <v>1.5410013739999999</v>
      </c>
      <c r="I37" s="355">
        <v>500000000</v>
      </c>
      <c r="J37" s="312">
        <v>-500000000</v>
      </c>
      <c r="K37" s="313">
        <v>0</v>
      </c>
      <c r="L37" s="314" t="s">
        <v>274</v>
      </c>
      <c r="M37" s="356">
        <v>2E-3</v>
      </c>
      <c r="N37" s="315"/>
      <c r="O37" s="315" t="s">
        <v>275</v>
      </c>
      <c r="P37" s="315" t="s">
        <v>275</v>
      </c>
      <c r="Q37" s="315" t="s">
        <v>275</v>
      </c>
      <c r="R37" s="316" t="s">
        <v>276</v>
      </c>
      <c r="S37" s="317">
        <v>41275</v>
      </c>
      <c r="T37" s="318" t="s">
        <v>277</v>
      </c>
    </row>
    <row r="38" spans="2:20">
      <c r="B38" s="310" t="s">
        <v>278</v>
      </c>
      <c r="C38" s="311" t="s">
        <v>319</v>
      </c>
      <c r="D38" s="311" t="s">
        <v>320</v>
      </c>
      <c r="E38" s="311" t="s">
        <v>281</v>
      </c>
      <c r="F38" s="238" t="s">
        <v>281</v>
      </c>
      <c r="G38" s="311" t="s">
        <v>273</v>
      </c>
      <c r="H38" s="288">
        <v>1.5383500000000001</v>
      </c>
      <c r="I38" s="355">
        <v>500000000</v>
      </c>
      <c r="J38" s="312">
        <v>-500000000</v>
      </c>
      <c r="K38" s="313">
        <v>0</v>
      </c>
      <c r="L38" s="314" t="s">
        <v>282</v>
      </c>
      <c r="M38" s="356">
        <v>1.6500000000000001E-2</v>
      </c>
      <c r="N38" s="357"/>
      <c r="O38" s="320" t="s">
        <v>275</v>
      </c>
      <c r="P38" s="321" t="s">
        <v>275</v>
      </c>
      <c r="Q38" s="361" t="s">
        <v>275</v>
      </c>
      <c r="R38" s="316">
        <v>42095</v>
      </c>
      <c r="S38" s="317">
        <v>56523</v>
      </c>
      <c r="T38" s="318" t="s">
        <v>283</v>
      </c>
    </row>
    <row r="39" spans="2:20">
      <c r="B39" s="310" t="s">
        <v>284</v>
      </c>
      <c r="C39" s="311" t="s">
        <v>321</v>
      </c>
      <c r="D39" s="311" t="s">
        <v>322</v>
      </c>
      <c r="E39" s="311" t="s">
        <v>281</v>
      </c>
      <c r="F39" s="238" t="s">
        <v>281</v>
      </c>
      <c r="G39" s="311" t="s">
        <v>287</v>
      </c>
      <c r="H39" s="288">
        <v>1.2026819808172224</v>
      </c>
      <c r="I39" s="355">
        <v>1200000000</v>
      </c>
      <c r="J39" s="312">
        <v>-1200000000</v>
      </c>
      <c r="K39" s="313">
        <v>0</v>
      </c>
      <c r="L39" s="314" t="s">
        <v>288</v>
      </c>
      <c r="M39" s="356">
        <v>1.55E-2</v>
      </c>
      <c r="N39" s="357"/>
      <c r="O39" s="320" t="s">
        <v>275</v>
      </c>
      <c r="P39" s="321" t="s">
        <v>275</v>
      </c>
      <c r="Q39" s="361" t="s">
        <v>275</v>
      </c>
      <c r="R39" s="316">
        <v>42095</v>
      </c>
      <c r="S39" s="317">
        <v>56523</v>
      </c>
      <c r="T39" s="318" t="s">
        <v>283</v>
      </c>
    </row>
    <row r="40" spans="2:20">
      <c r="B40" s="310" t="s">
        <v>289</v>
      </c>
      <c r="C40" s="311" t="s">
        <v>323</v>
      </c>
      <c r="D40" s="311" t="s">
        <v>324</v>
      </c>
      <c r="E40" s="311" t="s">
        <v>281</v>
      </c>
      <c r="F40" s="238" t="s">
        <v>281</v>
      </c>
      <c r="G40" s="311" t="s">
        <v>293</v>
      </c>
      <c r="H40" s="288" t="s">
        <v>275</v>
      </c>
      <c r="I40" s="355">
        <v>175000000</v>
      </c>
      <c r="J40" s="312">
        <v>-175000000</v>
      </c>
      <c r="K40" s="313">
        <v>0</v>
      </c>
      <c r="L40" s="314" t="s">
        <v>296</v>
      </c>
      <c r="M40" s="356">
        <v>1.7500000000000002E-2</v>
      </c>
      <c r="N40" s="357"/>
      <c r="O40" s="320" t="s">
        <v>275</v>
      </c>
      <c r="P40" s="321" t="s">
        <v>275</v>
      </c>
      <c r="Q40" s="361" t="s">
        <v>275</v>
      </c>
      <c r="R40" s="316">
        <v>42095</v>
      </c>
      <c r="S40" s="317">
        <v>56523</v>
      </c>
      <c r="T40" s="318" t="s">
        <v>283</v>
      </c>
    </row>
    <row r="41" spans="2:20" s="248" customFormat="1">
      <c r="B41" s="310" t="s">
        <v>292</v>
      </c>
      <c r="C41" s="311" t="s">
        <v>325</v>
      </c>
      <c r="D41" s="311" t="s">
        <v>326</v>
      </c>
      <c r="E41" s="311" t="s">
        <v>281</v>
      </c>
      <c r="F41" s="238" t="s">
        <v>281</v>
      </c>
      <c r="G41" s="311" t="s">
        <v>327</v>
      </c>
      <c r="H41" s="288">
        <v>118</v>
      </c>
      <c r="I41" s="355">
        <v>20000000000</v>
      </c>
      <c r="J41" s="312">
        <v>-20000000000</v>
      </c>
      <c r="K41" s="313">
        <v>0</v>
      </c>
      <c r="L41" s="314" t="s">
        <v>328</v>
      </c>
      <c r="M41" s="356">
        <v>1.2500000000000001E-2</v>
      </c>
      <c r="N41" s="319"/>
      <c r="O41" s="323" t="s">
        <v>275</v>
      </c>
      <c r="P41" s="324" t="s">
        <v>275</v>
      </c>
      <c r="Q41" s="322" t="s">
        <v>275</v>
      </c>
      <c r="R41" s="316">
        <v>42095</v>
      </c>
      <c r="S41" s="317">
        <v>56523</v>
      </c>
      <c r="T41" s="318" t="s">
        <v>283</v>
      </c>
    </row>
    <row r="42" spans="2:20" s="248" customFormat="1">
      <c r="B42" s="310" t="s">
        <v>312</v>
      </c>
      <c r="C42" s="311" t="s">
        <v>329</v>
      </c>
      <c r="D42" s="311" t="s">
        <v>330</v>
      </c>
      <c r="E42" s="311" t="s">
        <v>281</v>
      </c>
      <c r="F42" s="238" t="s">
        <v>281</v>
      </c>
      <c r="G42" s="311" t="s">
        <v>293</v>
      </c>
      <c r="H42" s="288" t="s">
        <v>275</v>
      </c>
      <c r="I42" s="355">
        <v>215000000</v>
      </c>
      <c r="J42" s="312">
        <f>K42-I42</f>
        <v>-127771428.55000001</v>
      </c>
      <c r="K42" s="313">
        <v>87228571.449999988</v>
      </c>
      <c r="L42" s="314" t="s">
        <v>296</v>
      </c>
      <c r="M42" s="356">
        <v>1.8499999999999999E-2</v>
      </c>
      <c r="N42" s="367">
        <v>2.20663E-2</v>
      </c>
      <c r="O42" s="323" t="s">
        <v>570</v>
      </c>
      <c r="P42" s="324">
        <v>42843</v>
      </c>
      <c r="Q42" s="322">
        <v>479884.59</v>
      </c>
      <c r="R42" s="316">
        <v>42917</v>
      </c>
      <c r="S42" s="317">
        <v>56523</v>
      </c>
      <c r="T42" s="318" t="s">
        <v>283</v>
      </c>
    </row>
    <row r="43" spans="2:20">
      <c r="B43" s="310" t="s">
        <v>84</v>
      </c>
      <c r="C43" s="311" t="s">
        <v>331</v>
      </c>
      <c r="D43" s="311" t="s">
        <v>276</v>
      </c>
      <c r="E43" s="311" t="s">
        <v>276</v>
      </c>
      <c r="F43" s="238" t="s">
        <v>276</v>
      </c>
      <c r="G43" s="311" t="s">
        <v>293</v>
      </c>
      <c r="H43" s="288" t="s">
        <v>275</v>
      </c>
      <c r="I43" s="355">
        <v>610000000</v>
      </c>
      <c r="J43" s="312">
        <v>-610000000</v>
      </c>
      <c r="K43" s="313">
        <v>0</v>
      </c>
      <c r="L43" s="314" t="s">
        <v>296</v>
      </c>
      <c r="M43" s="356">
        <v>8.9999999999999993E-3</v>
      </c>
      <c r="N43" s="357" t="s">
        <v>275</v>
      </c>
      <c r="O43" s="320" t="s">
        <v>275</v>
      </c>
      <c r="P43" s="321" t="s">
        <v>275</v>
      </c>
      <c r="Q43" s="322" t="s">
        <v>275</v>
      </c>
      <c r="R43" s="316" t="s">
        <v>276</v>
      </c>
      <c r="S43" s="317">
        <v>56523</v>
      </c>
      <c r="T43" s="318" t="s">
        <v>297</v>
      </c>
    </row>
    <row r="44" spans="2:20" ht="12.75" thickBot="1">
      <c r="B44" s="325"/>
      <c r="C44" s="326"/>
      <c r="D44" s="326"/>
      <c r="E44" s="326"/>
      <c r="F44" s="330"/>
      <c r="G44" s="326"/>
      <c r="H44" s="328"/>
      <c r="I44" s="326"/>
      <c r="J44" s="330"/>
      <c r="K44" s="331"/>
      <c r="L44" s="330"/>
      <c r="M44" s="326"/>
      <c r="N44" s="330"/>
      <c r="O44" s="326"/>
      <c r="P44" s="330"/>
      <c r="Q44" s="358"/>
      <c r="R44" s="330"/>
      <c r="S44" s="326"/>
      <c r="T44" s="333"/>
    </row>
    <row r="45" spans="2:20">
      <c r="Q45" s="359"/>
      <c r="S45" s="359"/>
    </row>
    <row r="46" spans="2:20">
      <c r="J46" s="263"/>
      <c r="Q46" s="359"/>
      <c r="S46" s="359"/>
    </row>
    <row r="57" spans="2:20">
      <c r="B57" s="235"/>
    </row>
    <row r="58" spans="2:20">
      <c r="B58" s="235"/>
    </row>
    <row r="59" spans="2:20">
      <c r="B59" s="290"/>
      <c r="C59" s="32"/>
      <c r="D59" s="32"/>
      <c r="E59" s="32"/>
      <c r="F59" s="32"/>
      <c r="G59" s="32"/>
      <c r="H59" s="293"/>
      <c r="I59" s="335"/>
      <c r="J59" s="238"/>
      <c r="K59" s="336"/>
      <c r="L59" s="238"/>
      <c r="M59" s="362"/>
      <c r="N59" s="238"/>
      <c r="O59" s="337"/>
      <c r="P59" s="337"/>
      <c r="Q59" s="337"/>
      <c r="R59" s="337"/>
      <c r="S59" s="337"/>
      <c r="T59" s="33"/>
    </row>
    <row r="60" spans="2:20">
      <c r="M60" s="363"/>
      <c r="N60" s="364"/>
      <c r="O60" s="364"/>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March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7"/>
  <sheetViews>
    <sheetView view="pageLayout" zoomScale="85" zoomScaleNormal="85" zoomScaleSheetLayoutView="70" zoomScalePageLayoutView="85" workbookViewId="0"/>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247</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713"/>
      <c r="D4" s="713"/>
      <c r="E4" s="713"/>
      <c r="F4" s="714"/>
      <c r="G4" s="349"/>
    </row>
    <row r="5" spans="1:21">
      <c r="A5" s="248"/>
      <c r="B5" s="290" t="s">
        <v>248</v>
      </c>
      <c r="C5" s="291" t="s">
        <v>332</v>
      </c>
      <c r="D5" s="291"/>
      <c r="E5" s="292"/>
      <c r="F5" s="32"/>
      <c r="G5" s="222"/>
      <c r="H5" s="293"/>
      <c r="I5" s="32"/>
      <c r="J5" s="715" t="s">
        <v>333</v>
      </c>
      <c r="K5" s="715"/>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334</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269</v>
      </c>
      <c r="C9" s="311" t="s">
        <v>335</v>
      </c>
      <c r="D9" s="311" t="s">
        <v>276</v>
      </c>
      <c r="E9" s="311" t="s">
        <v>281</v>
      </c>
      <c r="F9" s="238" t="s">
        <v>281</v>
      </c>
      <c r="G9" s="311" t="s">
        <v>273</v>
      </c>
      <c r="H9" s="288">
        <v>1.5920000000000001</v>
      </c>
      <c r="I9" s="355">
        <v>1250000000</v>
      </c>
      <c r="J9" s="312">
        <f>K9-I9</f>
        <v>-561285714.27999997</v>
      </c>
      <c r="K9" s="313">
        <v>688714285.72000003</v>
      </c>
      <c r="L9" s="314" t="s">
        <v>282</v>
      </c>
      <c r="M9" s="356">
        <v>1.55E-2</v>
      </c>
      <c r="N9" s="319">
        <v>2.57317E-2</v>
      </c>
      <c r="O9" s="323" t="s">
        <v>570</v>
      </c>
      <c r="P9" s="324">
        <v>42843</v>
      </c>
      <c r="Q9" s="322">
        <v>4479674.54</v>
      </c>
      <c r="R9" s="316">
        <v>43023</v>
      </c>
      <c r="S9" s="317">
        <v>56523</v>
      </c>
      <c r="T9" s="317" t="s">
        <v>283</v>
      </c>
    </row>
    <row r="10" spans="1:21">
      <c r="A10" s="248"/>
      <c r="B10" s="310" t="s">
        <v>84</v>
      </c>
      <c r="C10" s="311" t="s">
        <v>336</v>
      </c>
      <c r="D10" s="311" t="s">
        <v>276</v>
      </c>
      <c r="E10" s="311" t="s">
        <v>276</v>
      </c>
      <c r="F10" s="238" t="s">
        <v>276</v>
      </c>
      <c r="G10" s="311" t="s">
        <v>293</v>
      </c>
      <c r="H10" s="288" t="s">
        <v>275</v>
      </c>
      <c r="I10" s="355">
        <v>175000000</v>
      </c>
      <c r="J10" s="312">
        <v>-175000000</v>
      </c>
      <c r="K10" s="313">
        <v>0</v>
      </c>
      <c r="L10" s="314" t="s">
        <v>296</v>
      </c>
      <c r="M10" s="356">
        <v>8.9999999999999993E-3</v>
      </c>
      <c r="N10" s="319" t="s">
        <v>275</v>
      </c>
      <c r="O10" s="320" t="s">
        <v>275</v>
      </c>
      <c r="P10" s="321" t="s">
        <v>275</v>
      </c>
      <c r="Q10" s="322" t="s">
        <v>275</v>
      </c>
      <c r="R10" s="316" t="s">
        <v>276</v>
      </c>
      <c r="S10" s="317">
        <v>56523</v>
      </c>
      <c r="T10" s="317" t="s">
        <v>297</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248</v>
      </c>
      <c r="C15" s="291">
        <v>41068</v>
      </c>
      <c r="D15" s="291"/>
      <c r="E15" s="292"/>
      <c r="F15" s="32"/>
      <c r="G15" s="222"/>
      <c r="H15" s="293"/>
      <c r="I15" s="32"/>
      <c r="J15" s="715" t="s">
        <v>337</v>
      </c>
      <c r="K15" s="715"/>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338</v>
      </c>
      <c r="C17" s="237" t="s">
        <v>251</v>
      </c>
      <c r="D17" s="237" t="s">
        <v>252</v>
      </c>
      <c r="E17" s="365">
        <v>41647</v>
      </c>
      <c r="F17" s="237" t="s">
        <v>254</v>
      </c>
      <c r="G17" s="297" t="s">
        <v>255</v>
      </c>
      <c r="H17" s="298" t="s">
        <v>256</v>
      </c>
      <c r="I17" s="297" t="s">
        <v>257</v>
      </c>
      <c r="J17" s="297" t="s">
        <v>258</v>
      </c>
      <c r="K17" s="299" t="s">
        <v>259</v>
      </c>
      <c r="L17" s="297" t="s">
        <v>260</v>
      </c>
      <c r="M17" s="297" t="s">
        <v>261</v>
      </c>
      <c r="N17" s="297" t="s">
        <v>262</v>
      </c>
      <c r="O17" s="297" t="s">
        <v>263</v>
      </c>
      <c r="P17" s="297" t="s">
        <v>264</v>
      </c>
      <c r="Q17" s="297" t="s">
        <v>265</v>
      </c>
      <c r="R17" s="297" t="s">
        <v>266</v>
      </c>
      <c r="S17" s="297" t="s">
        <v>267</v>
      </c>
      <c r="T17" s="297" t="s">
        <v>268</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269</v>
      </c>
      <c r="C19" s="311" t="s">
        <v>339</v>
      </c>
      <c r="D19" s="311" t="s">
        <v>340</v>
      </c>
      <c r="E19" s="311" t="s">
        <v>281</v>
      </c>
      <c r="F19" s="238" t="s">
        <v>281</v>
      </c>
      <c r="G19" s="311" t="s">
        <v>293</v>
      </c>
      <c r="H19" s="288" t="s">
        <v>275</v>
      </c>
      <c r="I19" s="355">
        <v>515000000</v>
      </c>
      <c r="J19" s="312">
        <f>K19-I19</f>
        <v>-212659228.49000001</v>
      </c>
      <c r="K19" s="313">
        <v>302340771.50999999</v>
      </c>
      <c r="L19" s="314" t="s">
        <v>296</v>
      </c>
      <c r="M19" s="356">
        <v>1.55E-2</v>
      </c>
      <c r="N19" s="319">
        <v>1.9066300000000001E-2</v>
      </c>
      <c r="O19" s="323" t="s">
        <v>570</v>
      </c>
      <c r="P19" s="324">
        <v>42843</v>
      </c>
      <c r="Q19" s="322">
        <v>1437181.66</v>
      </c>
      <c r="R19" s="316">
        <v>43023</v>
      </c>
      <c r="S19" s="317">
        <v>56523</v>
      </c>
      <c r="T19" s="317" t="s">
        <v>283</v>
      </c>
    </row>
    <row r="20" spans="1:21" s="248" customFormat="1">
      <c r="B20" s="310" t="s">
        <v>341</v>
      </c>
      <c r="C20" s="311" t="s">
        <v>342</v>
      </c>
      <c r="D20" s="311" t="s">
        <v>343</v>
      </c>
      <c r="E20" s="311" t="s">
        <v>344</v>
      </c>
      <c r="F20" s="311" t="s">
        <v>344</v>
      </c>
      <c r="G20" s="311" t="s">
        <v>273</v>
      </c>
      <c r="H20" s="288">
        <v>1.5525</v>
      </c>
      <c r="I20" s="355">
        <v>140000000</v>
      </c>
      <c r="J20" s="312">
        <f>K20-I20</f>
        <v>0</v>
      </c>
      <c r="K20" s="313">
        <v>140000000</v>
      </c>
      <c r="L20" s="314" t="s">
        <v>282</v>
      </c>
      <c r="M20" s="356">
        <v>2.1999999999999999E-2</v>
      </c>
      <c r="N20" s="319">
        <v>3.2231700000000002E-2</v>
      </c>
      <c r="O20" s="323" t="s">
        <v>570</v>
      </c>
      <c r="P20" s="324">
        <v>42843</v>
      </c>
      <c r="Q20" s="322">
        <v>1140644.05</v>
      </c>
      <c r="R20" s="316">
        <v>43023</v>
      </c>
      <c r="S20" s="317">
        <v>56523</v>
      </c>
      <c r="T20" s="317" t="s">
        <v>283</v>
      </c>
    </row>
    <row r="21" spans="1:21" s="248" customFormat="1">
      <c r="B21" s="310" t="s">
        <v>345</v>
      </c>
      <c r="C21" s="311" t="s">
        <v>346</v>
      </c>
      <c r="D21" s="311" t="s">
        <v>347</v>
      </c>
      <c r="E21" s="311" t="s">
        <v>344</v>
      </c>
      <c r="F21" s="311" t="s">
        <v>344</v>
      </c>
      <c r="G21" s="311" t="s">
        <v>293</v>
      </c>
      <c r="H21" s="288" t="s">
        <v>275</v>
      </c>
      <c r="I21" s="355">
        <v>33000000</v>
      </c>
      <c r="J21" s="312">
        <f>K21-I21</f>
        <v>0</v>
      </c>
      <c r="K21" s="313">
        <v>33000000</v>
      </c>
      <c r="L21" s="314" t="s">
        <v>296</v>
      </c>
      <c r="M21" s="356">
        <v>2.35E-2</v>
      </c>
      <c r="N21" s="319">
        <v>2.7066300000000001E-2</v>
      </c>
      <c r="O21" s="323" t="s">
        <v>570</v>
      </c>
      <c r="P21" s="324">
        <v>42843</v>
      </c>
      <c r="Q21" s="322">
        <v>222685.2</v>
      </c>
      <c r="R21" s="316">
        <v>43023</v>
      </c>
      <c r="S21" s="317">
        <v>56523</v>
      </c>
      <c r="T21" s="317" t="s">
        <v>283</v>
      </c>
    </row>
    <row r="22" spans="1:21" ht="12.75" thickBot="1">
      <c r="B22" s="325"/>
      <c r="C22" s="366"/>
      <c r="D22" s="366"/>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248</v>
      </c>
      <c r="C26" s="292" t="s">
        <v>348</v>
      </c>
      <c r="D26" s="292"/>
      <c r="E26" s="292"/>
      <c r="F26" s="32"/>
      <c r="G26" s="222"/>
      <c r="H26" s="293"/>
      <c r="I26" s="32"/>
      <c r="J26" s="715" t="s">
        <v>349</v>
      </c>
      <c r="K26" s="715"/>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350</v>
      </c>
      <c r="C28" s="237" t="s">
        <v>251</v>
      </c>
      <c r="D28" s="237" t="s">
        <v>252</v>
      </c>
      <c r="E28" s="237" t="s">
        <v>253</v>
      </c>
      <c r="F28" s="237" t="s">
        <v>254</v>
      </c>
      <c r="G28" s="297" t="s">
        <v>255</v>
      </c>
      <c r="H28" s="298" t="s">
        <v>256</v>
      </c>
      <c r="I28" s="297" t="s">
        <v>257</v>
      </c>
      <c r="J28" s="297" t="s">
        <v>258</v>
      </c>
      <c r="K28" s="299" t="s">
        <v>259</v>
      </c>
      <c r="L28" s="297" t="s">
        <v>260</v>
      </c>
      <c r="M28" s="297" t="s">
        <v>261</v>
      </c>
      <c r="N28" s="297" t="s">
        <v>262</v>
      </c>
      <c r="O28" s="297" t="s">
        <v>263</v>
      </c>
      <c r="P28" s="297" t="s">
        <v>264</v>
      </c>
      <c r="Q28" s="297" t="s">
        <v>265</v>
      </c>
      <c r="R28" s="297" t="s">
        <v>266</v>
      </c>
      <c r="S28" s="297" t="s">
        <v>267</v>
      </c>
      <c r="T28" s="297" t="s">
        <v>268</v>
      </c>
      <c r="U28" s="297" t="s">
        <v>351</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269</v>
      </c>
      <c r="C30" s="311" t="s">
        <v>352</v>
      </c>
      <c r="D30" s="311" t="s">
        <v>353</v>
      </c>
      <c r="E30" s="311" t="s">
        <v>281</v>
      </c>
      <c r="F30" s="238" t="s">
        <v>281</v>
      </c>
      <c r="G30" s="311" t="s">
        <v>273</v>
      </c>
      <c r="H30" s="288">
        <v>1.5095000000000001</v>
      </c>
      <c r="I30" s="355">
        <v>750000000</v>
      </c>
      <c r="J30" s="312">
        <v>-750000000</v>
      </c>
      <c r="K30" s="313">
        <v>0</v>
      </c>
      <c r="L30" s="314" t="s">
        <v>274</v>
      </c>
      <c r="M30" s="356">
        <v>8.0000000000000004E-4</v>
      </c>
      <c r="N30" s="319"/>
      <c r="O30" s="323" t="s">
        <v>275</v>
      </c>
      <c r="P30" s="324" t="s">
        <v>275</v>
      </c>
      <c r="Q30" s="322" t="s">
        <v>275</v>
      </c>
      <c r="R30" s="316" t="s">
        <v>276</v>
      </c>
      <c r="S30" s="317">
        <v>41730</v>
      </c>
      <c r="T30" s="317" t="s">
        <v>283</v>
      </c>
      <c r="U30" s="318" t="s">
        <v>354</v>
      </c>
    </row>
    <row r="31" spans="1:21" s="248" customFormat="1">
      <c r="B31" s="310" t="s">
        <v>278</v>
      </c>
      <c r="C31" s="311" t="s">
        <v>355</v>
      </c>
      <c r="D31" s="311" t="s">
        <v>356</v>
      </c>
      <c r="E31" s="311" t="s">
        <v>281</v>
      </c>
      <c r="F31" s="238" t="s">
        <v>281</v>
      </c>
      <c r="G31" s="311" t="s">
        <v>293</v>
      </c>
      <c r="H31" s="288" t="s">
        <v>275</v>
      </c>
      <c r="I31" s="355">
        <v>500000000</v>
      </c>
      <c r="J31" s="312">
        <f>K31-I31</f>
        <v>-500000000</v>
      </c>
      <c r="K31" s="313">
        <v>0</v>
      </c>
      <c r="L31" s="314" t="s">
        <v>296</v>
      </c>
      <c r="M31" s="356">
        <v>4.0000000000000001E-3</v>
      </c>
      <c r="N31" s="319" t="s">
        <v>571</v>
      </c>
      <c r="O31" s="323" t="s">
        <v>275</v>
      </c>
      <c r="P31" s="324" t="s">
        <v>275</v>
      </c>
      <c r="Q31" s="629" t="s">
        <v>275</v>
      </c>
      <c r="R31" s="316">
        <v>42658</v>
      </c>
      <c r="S31" s="317">
        <v>56523</v>
      </c>
      <c r="T31" s="317" t="s">
        <v>283</v>
      </c>
      <c r="U31" s="318" t="s">
        <v>354</v>
      </c>
    </row>
    <row r="32" spans="1:21" s="248" customFormat="1">
      <c r="B32" s="310" t="s">
        <v>284</v>
      </c>
      <c r="C32" s="311" t="s">
        <v>357</v>
      </c>
      <c r="D32" s="311" t="s">
        <v>276</v>
      </c>
      <c r="E32" s="311" t="s">
        <v>281</v>
      </c>
      <c r="F32" s="238" t="s">
        <v>281</v>
      </c>
      <c r="G32" s="311" t="s">
        <v>293</v>
      </c>
      <c r="H32" s="288" t="s">
        <v>275</v>
      </c>
      <c r="I32" s="355">
        <v>100000000</v>
      </c>
      <c r="J32" s="312">
        <f>K32-I32</f>
        <v>-100000000</v>
      </c>
      <c r="K32" s="313">
        <v>0</v>
      </c>
      <c r="L32" s="314" t="s">
        <v>296</v>
      </c>
      <c r="M32" s="356">
        <v>4.0000000000000001E-3</v>
      </c>
      <c r="N32" s="319" t="s">
        <v>558</v>
      </c>
      <c r="O32" s="323" t="s">
        <v>558</v>
      </c>
      <c r="P32" s="324" t="s">
        <v>558</v>
      </c>
      <c r="Q32" s="629">
        <v>0</v>
      </c>
      <c r="R32" s="316">
        <v>42750</v>
      </c>
      <c r="S32" s="317">
        <v>56523</v>
      </c>
      <c r="T32" s="317" t="s">
        <v>283</v>
      </c>
      <c r="U32" s="318" t="s">
        <v>358</v>
      </c>
    </row>
    <row r="33" spans="1:21" ht="12.75" thickBot="1">
      <c r="B33" s="325"/>
      <c r="C33" s="366"/>
      <c r="D33" s="366"/>
      <c r="E33" s="326"/>
      <c r="F33" s="330"/>
      <c r="G33" s="326"/>
      <c r="H33" s="328"/>
      <c r="I33" s="326"/>
      <c r="J33" s="330"/>
      <c r="K33" s="331"/>
      <c r="L33" s="330"/>
      <c r="M33" s="326"/>
      <c r="N33" s="330"/>
      <c r="O33" s="326"/>
      <c r="P33" s="330"/>
      <c r="Q33" s="358"/>
      <c r="R33" s="330"/>
      <c r="S33" s="326"/>
      <c r="T33" s="326"/>
      <c r="U33" s="618"/>
    </row>
    <row r="34" spans="1:21">
      <c r="B34" s="334"/>
      <c r="C34" s="32"/>
      <c r="D34" s="32"/>
      <c r="E34" s="32"/>
      <c r="F34" s="32"/>
      <c r="G34" s="32"/>
      <c r="H34" s="293"/>
      <c r="I34" s="335"/>
      <c r="J34" s="238"/>
      <c r="K34" s="336"/>
      <c r="L34" s="238"/>
      <c r="M34" s="238"/>
      <c r="N34" s="238"/>
      <c r="O34" s="238"/>
      <c r="P34" s="337"/>
      <c r="Q34" s="338"/>
      <c r="R34" s="339"/>
      <c r="S34" s="32"/>
      <c r="T34" s="33"/>
    </row>
    <row r="35" spans="1:21">
      <c r="R35" s="359"/>
    </row>
    <row r="36" spans="1:21">
      <c r="R36" s="359"/>
    </row>
    <row r="37" spans="1:21">
      <c r="B37" s="290" t="s">
        <v>248</v>
      </c>
      <c r="C37" s="292">
        <v>42516</v>
      </c>
      <c r="D37" s="292"/>
      <c r="E37" s="292"/>
      <c r="F37" s="32"/>
      <c r="G37" s="222"/>
      <c r="H37" s="293"/>
      <c r="I37" s="32"/>
      <c r="J37" s="715" t="s">
        <v>526</v>
      </c>
      <c r="K37" s="715"/>
      <c r="L37" s="32"/>
      <c r="M37" s="32"/>
      <c r="N37" s="32"/>
      <c r="O37" s="32"/>
      <c r="P37" s="32"/>
      <c r="Q37" s="32"/>
      <c r="R37" s="32"/>
      <c r="S37" s="32"/>
      <c r="T37" s="32"/>
    </row>
    <row r="38" spans="1:21" ht="12.75" thickBot="1">
      <c r="B38" s="294"/>
      <c r="C38" s="294"/>
      <c r="D38" s="294"/>
      <c r="E38" s="294"/>
      <c r="F38" s="294"/>
      <c r="G38" s="222"/>
      <c r="H38" s="295"/>
      <c r="I38" s="294"/>
      <c r="J38" s="294"/>
      <c r="K38" s="296"/>
      <c r="L38" s="294"/>
      <c r="M38" s="294"/>
      <c r="N38" s="294"/>
      <c r="O38" s="294"/>
      <c r="P38" s="294"/>
      <c r="Q38" s="294"/>
      <c r="R38" s="294"/>
      <c r="S38" s="294"/>
      <c r="T38" s="294"/>
    </row>
    <row r="39" spans="1:21" ht="54" customHeight="1" thickBot="1">
      <c r="A39" s="248"/>
      <c r="B39" s="237" t="s">
        <v>519</v>
      </c>
      <c r="C39" s="237" t="s">
        <v>251</v>
      </c>
      <c r="D39" s="237" t="s">
        <v>252</v>
      </c>
      <c r="E39" s="237" t="s">
        <v>253</v>
      </c>
      <c r="F39" s="237" t="s">
        <v>254</v>
      </c>
      <c r="G39" s="297" t="s">
        <v>255</v>
      </c>
      <c r="H39" s="298" t="s">
        <v>256</v>
      </c>
      <c r="I39" s="297" t="s">
        <v>257</v>
      </c>
      <c r="J39" s="297" t="s">
        <v>258</v>
      </c>
      <c r="K39" s="299" t="s">
        <v>259</v>
      </c>
      <c r="L39" s="297" t="s">
        <v>260</v>
      </c>
      <c r="M39" s="297" t="s">
        <v>261</v>
      </c>
      <c r="N39" s="297" t="s">
        <v>262</v>
      </c>
      <c r="O39" s="297" t="s">
        <v>263</v>
      </c>
      <c r="P39" s="297" t="s">
        <v>264</v>
      </c>
      <c r="Q39" s="297" t="s">
        <v>265</v>
      </c>
      <c r="R39" s="297" t="s">
        <v>266</v>
      </c>
      <c r="S39" s="297" t="s">
        <v>267</v>
      </c>
      <c r="T39" s="297" t="s">
        <v>268</v>
      </c>
      <c r="U39" s="297" t="s">
        <v>351</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269</v>
      </c>
      <c r="C41" s="311" t="s">
        <v>520</v>
      </c>
      <c r="D41" s="311" t="s">
        <v>523</v>
      </c>
      <c r="E41" s="311" t="s">
        <v>281</v>
      </c>
      <c r="F41" s="311" t="s">
        <v>281</v>
      </c>
      <c r="G41" s="311" t="s">
        <v>273</v>
      </c>
      <c r="H41" s="288">
        <v>1.4601999999999999</v>
      </c>
      <c r="I41" s="355">
        <v>375000000</v>
      </c>
      <c r="J41" s="312">
        <f>K41-I41</f>
        <v>0</v>
      </c>
      <c r="K41" s="313">
        <v>375000000</v>
      </c>
      <c r="L41" s="314" t="s">
        <v>274</v>
      </c>
      <c r="M41" s="356">
        <v>6.0000000000000001E-3</v>
      </c>
      <c r="N41" s="367">
        <v>1.5122200000000001E-2</v>
      </c>
      <c r="O41" s="323" t="s">
        <v>572</v>
      </c>
      <c r="P41" s="324">
        <v>42843</v>
      </c>
      <c r="Q41" s="322">
        <v>535577.91666666663</v>
      </c>
      <c r="R41" s="316" t="s">
        <v>525</v>
      </c>
      <c r="S41" s="317">
        <v>42826</v>
      </c>
      <c r="T41" s="318" t="s">
        <v>283</v>
      </c>
      <c r="U41" s="318" t="s">
        <v>354</v>
      </c>
    </row>
    <row r="42" spans="1:21" s="248" customFormat="1">
      <c r="B42" s="310" t="s">
        <v>278</v>
      </c>
      <c r="C42" s="311" t="s">
        <v>521</v>
      </c>
      <c r="D42" s="311" t="s">
        <v>524</v>
      </c>
      <c r="E42" s="311" t="s">
        <v>281</v>
      </c>
      <c r="F42" s="311" t="s">
        <v>281</v>
      </c>
      <c r="G42" s="311" t="s">
        <v>293</v>
      </c>
      <c r="H42" s="288" t="s">
        <v>275</v>
      </c>
      <c r="I42" s="355">
        <v>340000000</v>
      </c>
      <c r="J42" s="312">
        <f>K42-I42</f>
        <v>0</v>
      </c>
      <c r="K42" s="313">
        <v>340000000</v>
      </c>
      <c r="L42" s="314" t="s">
        <v>296</v>
      </c>
      <c r="M42" s="356">
        <v>7.4999999999999997E-3</v>
      </c>
      <c r="N42" s="367">
        <v>1.1066299999999999E-2</v>
      </c>
      <c r="O42" s="323" t="s">
        <v>570</v>
      </c>
      <c r="P42" s="324">
        <v>42843</v>
      </c>
      <c r="Q42" s="322">
        <v>938058.42</v>
      </c>
      <c r="R42" s="316">
        <v>44392</v>
      </c>
      <c r="S42" s="317">
        <v>56523</v>
      </c>
      <c r="T42" s="318" t="s">
        <v>283</v>
      </c>
      <c r="U42" s="318" t="s">
        <v>354</v>
      </c>
    </row>
    <row r="43" spans="1:21" s="248" customFormat="1">
      <c r="B43" s="310" t="s">
        <v>84</v>
      </c>
      <c r="C43" s="311" t="s">
        <v>522</v>
      </c>
      <c r="D43" s="311" t="s">
        <v>276</v>
      </c>
      <c r="E43" s="238" t="s">
        <v>276</v>
      </c>
      <c r="F43" s="311" t="s">
        <v>276</v>
      </c>
      <c r="G43" s="311" t="s">
        <v>293</v>
      </c>
      <c r="H43" s="288" t="s">
        <v>275</v>
      </c>
      <c r="I43" s="355">
        <v>582000000</v>
      </c>
      <c r="J43" s="312">
        <f>K43-I43</f>
        <v>0</v>
      </c>
      <c r="K43" s="313">
        <v>582000000</v>
      </c>
      <c r="L43" s="314" t="s">
        <v>296</v>
      </c>
      <c r="M43" s="356">
        <v>8.9999999999999993E-3</v>
      </c>
      <c r="N43" s="367">
        <v>1.2566299999999999E-2</v>
      </c>
      <c r="O43" s="323" t="s">
        <v>570</v>
      </c>
      <c r="P43" s="324">
        <v>42843</v>
      </c>
      <c r="Q43" s="322">
        <v>1823387.34</v>
      </c>
      <c r="R43" s="316" t="s">
        <v>525</v>
      </c>
      <c r="S43" s="317">
        <v>56523</v>
      </c>
      <c r="T43" s="318" t="s">
        <v>297</v>
      </c>
      <c r="U43" s="318" t="s">
        <v>358</v>
      </c>
    </row>
    <row r="44" spans="1:21" ht="12.75" thickBot="1">
      <c r="B44" s="325"/>
      <c r="C44" s="366"/>
      <c r="D44" s="366"/>
      <c r="E44" s="326"/>
      <c r="F44" s="330"/>
      <c r="G44" s="326"/>
      <c r="H44" s="328"/>
      <c r="I44" s="326"/>
      <c r="J44" s="330"/>
      <c r="K44" s="331"/>
      <c r="L44" s="330"/>
      <c r="M44" s="326"/>
      <c r="N44" s="330"/>
      <c r="O44" s="326"/>
      <c r="P44" s="330"/>
      <c r="Q44" s="358"/>
      <c r="R44" s="330"/>
      <c r="S44" s="326"/>
      <c r="T44" s="333"/>
      <c r="U44" s="368"/>
    </row>
    <row r="45" spans="1:21">
      <c r="B45" s="369" t="s">
        <v>359</v>
      </c>
    </row>
    <row r="46" spans="1:21">
      <c r="I46" s="370"/>
    </row>
    <row r="47" spans="1:21" ht="14.25">
      <c r="N47" s="371"/>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March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Normal="100" zoomScaleSheet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72" t="s">
        <v>360</v>
      </c>
      <c r="C2" s="373" t="s">
        <v>105</v>
      </c>
      <c r="D2" s="372" t="s">
        <v>105</v>
      </c>
      <c r="E2" s="373" t="s">
        <v>361</v>
      </c>
      <c r="F2" s="372" t="s">
        <v>362</v>
      </c>
      <c r="G2" s="373" t="s">
        <v>363</v>
      </c>
    </row>
    <row r="3" spans="2:9" ht="12.75" thickBot="1">
      <c r="B3" s="374"/>
      <c r="C3" s="375" t="s">
        <v>108</v>
      </c>
      <c r="D3" s="376" t="s">
        <v>123</v>
      </c>
      <c r="E3" s="375" t="s">
        <v>364</v>
      </c>
      <c r="F3" s="376" t="s">
        <v>365</v>
      </c>
      <c r="G3" s="377"/>
      <c r="I3" s="545"/>
    </row>
    <row r="4" spans="2:9">
      <c r="B4" s="124"/>
      <c r="C4" s="378"/>
      <c r="D4" s="124"/>
      <c r="E4" s="378"/>
      <c r="F4" s="124"/>
      <c r="G4" s="379"/>
    </row>
    <row r="5" spans="2:9">
      <c r="B5" s="124" t="s">
        <v>366</v>
      </c>
      <c r="C5" s="632">
        <v>2268676498.4899998</v>
      </c>
      <c r="D5" s="379">
        <f>C5/C8</f>
        <v>0.76287429682604124</v>
      </c>
      <c r="E5" s="480">
        <f>SUM(C6:C7)/C8</f>
        <v>0.23712570317395876</v>
      </c>
      <c r="F5" s="379">
        <f>(C6+C7+C11)/$C$8</f>
        <v>0.30605982884301253</v>
      </c>
      <c r="G5" s="379">
        <v>0.23100000000000001</v>
      </c>
      <c r="H5" s="585"/>
    </row>
    <row r="6" spans="2:9">
      <c r="B6" s="124" t="s">
        <v>367</v>
      </c>
      <c r="C6" s="632">
        <v>123177133.66</v>
      </c>
      <c r="D6" s="379">
        <f>C6/C8</f>
        <v>4.1420039079376927E-2</v>
      </c>
      <c r="E6" s="480">
        <f>C7/C8</f>
        <v>0.19570566409458184</v>
      </c>
      <c r="F6" s="379">
        <f>(C7+C11)/$C$8</f>
        <v>0.26463978976363561</v>
      </c>
      <c r="G6" s="379">
        <v>5.7000000000000002E-2</v>
      </c>
      <c r="H6" s="248"/>
    </row>
    <row r="7" spans="2:9" ht="12.75" thickBot="1">
      <c r="B7" s="124" t="s">
        <v>368</v>
      </c>
      <c r="C7" s="632">
        <v>582000000</v>
      </c>
      <c r="D7" s="379">
        <f>C7/C8</f>
        <v>0.19570566409458184</v>
      </c>
      <c r="E7" s="379">
        <v>0</v>
      </c>
      <c r="F7" s="379">
        <f>(C11)/$C$8</f>
        <v>6.8934125669053742E-2</v>
      </c>
      <c r="G7" s="379"/>
      <c r="H7" s="248"/>
    </row>
    <row r="8" spans="2:9">
      <c r="B8" s="124"/>
      <c r="C8" s="633">
        <f>SUM(C5:C7)</f>
        <v>2973853632.1499996</v>
      </c>
      <c r="D8" s="380">
        <v>1.0000000000000002</v>
      </c>
      <c r="E8" s="379"/>
      <c r="F8" s="381"/>
      <c r="G8" s="379"/>
      <c r="H8" s="248"/>
    </row>
    <row r="9" spans="2:9" ht="12.75" thickBot="1">
      <c r="B9" s="124"/>
      <c r="C9" s="378"/>
      <c r="D9" s="379"/>
      <c r="E9" s="379"/>
      <c r="F9" s="381"/>
      <c r="G9" s="382"/>
      <c r="H9" s="248"/>
    </row>
    <row r="10" spans="2:9">
      <c r="B10" s="270"/>
      <c r="C10" s="383"/>
      <c r="D10" s="380"/>
      <c r="E10" s="380"/>
      <c r="F10" s="384"/>
      <c r="G10" s="385"/>
      <c r="H10" s="248"/>
    </row>
    <row r="11" spans="2:9">
      <c r="B11" s="124" t="s">
        <v>369</v>
      </c>
      <c r="C11" s="378">
        <v>205000000</v>
      </c>
      <c r="D11" s="379">
        <f>C11/C8</f>
        <v>6.8934125669053742E-2</v>
      </c>
      <c r="E11" s="379"/>
      <c r="F11" s="381"/>
      <c r="G11" s="382"/>
      <c r="H11" s="248"/>
    </row>
    <row r="12" spans="2:9" ht="12.75" thickBot="1">
      <c r="B12" s="115"/>
      <c r="C12" s="386"/>
      <c r="D12" s="387"/>
      <c r="E12" s="388"/>
      <c r="F12" s="389"/>
      <c r="G12" s="388"/>
      <c r="H12" s="248"/>
    </row>
    <row r="13" spans="2:9" ht="12.75" customHeight="1">
      <c r="B13" s="125"/>
      <c r="C13" s="390"/>
      <c r="D13" s="390"/>
      <c r="E13" s="391"/>
      <c r="F13" s="392"/>
      <c r="G13" s="391"/>
    </row>
    <row r="14" spans="2:9" ht="12.75" thickBot="1">
      <c r="B14" s="392"/>
      <c r="C14" s="392"/>
      <c r="D14" s="390"/>
      <c r="E14" s="391"/>
      <c r="F14" s="340"/>
      <c r="G14" s="391"/>
    </row>
    <row r="15" spans="2:9">
      <c r="B15" s="107" t="s">
        <v>370</v>
      </c>
      <c r="C15" s="393">
        <v>0</v>
      </c>
      <c r="D15" s="228"/>
      <c r="E15" s="391"/>
      <c r="F15" s="546"/>
      <c r="G15" s="238"/>
    </row>
    <row r="16" spans="2:9">
      <c r="B16" s="124" t="s">
        <v>371</v>
      </c>
      <c r="C16" s="394">
        <v>0</v>
      </c>
      <c r="D16" s="395"/>
      <c r="E16" s="391"/>
      <c r="F16" s="340"/>
      <c r="G16" s="238"/>
    </row>
    <row r="17" spans="2:15">
      <c r="B17" s="124" t="s">
        <v>372</v>
      </c>
      <c r="C17" s="394">
        <v>0</v>
      </c>
      <c r="D17" s="395"/>
      <c r="E17" s="651"/>
      <c r="F17" s="598"/>
      <c r="G17" s="32"/>
    </row>
    <row r="18" spans="2:15">
      <c r="B18" s="124" t="s">
        <v>373</v>
      </c>
      <c r="C18" s="394">
        <v>0</v>
      </c>
      <c r="D18" s="390"/>
      <c r="E18" s="653"/>
      <c r="F18" s="32"/>
      <c r="G18" s="32"/>
    </row>
    <row r="19" spans="2:15">
      <c r="B19" s="124" t="s">
        <v>374</v>
      </c>
      <c r="C19" s="394">
        <v>0</v>
      </c>
      <c r="D19" s="396"/>
      <c r="E19" s="391"/>
      <c r="F19" s="238"/>
      <c r="G19" s="238"/>
      <c r="H19" s="111"/>
    </row>
    <row r="20" spans="2:15" ht="12.75" thickBot="1">
      <c r="B20" s="397" t="s">
        <v>375</v>
      </c>
      <c r="C20" s="398">
        <v>0</v>
      </c>
      <c r="D20" s="390"/>
      <c r="E20" s="391"/>
      <c r="F20" s="238"/>
      <c r="G20" s="238"/>
    </row>
    <row r="21" spans="2:15">
      <c r="B21" s="31"/>
      <c r="C21" s="31"/>
      <c r="D21" s="399"/>
      <c r="E21" s="400"/>
      <c r="F21" s="238"/>
      <c r="G21" s="238"/>
    </row>
    <row r="22" spans="2:15" ht="12.75" thickBot="1">
      <c r="B22" s="586"/>
      <c r="C22" s="392"/>
      <c r="D22" s="396"/>
      <c r="E22" s="391"/>
      <c r="F22" s="392"/>
      <c r="G22" s="391"/>
    </row>
    <row r="23" spans="2:15">
      <c r="B23" s="401" t="s">
        <v>376</v>
      </c>
      <c r="C23" s="402"/>
      <c r="D23" s="32"/>
    </row>
    <row r="24" spans="2:15" ht="12.75" thickBot="1">
      <c r="B24" s="374"/>
      <c r="C24" s="377"/>
      <c r="D24" s="32"/>
    </row>
    <row r="25" spans="2:15">
      <c r="B25" s="124" t="s">
        <v>377</v>
      </c>
      <c r="C25" s="603">
        <f>+C26+C28</f>
        <v>205000000</v>
      </c>
      <c r="D25" s="32"/>
    </row>
    <row r="26" spans="2:15" ht="14.25" customHeight="1">
      <c r="B26" s="124" t="s">
        <v>378</v>
      </c>
      <c r="C26" s="603">
        <v>0</v>
      </c>
      <c r="D26" s="32"/>
      <c r="E26" s="8"/>
      <c r="F26" s="8"/>
      <c r="G26" s="8"/>
      <c r="H26" s="8"/>
      <c r="I26" s="8"/>
      <c r="J26" s="8"/>
      <c r="K26" s="8"/>
      <c r="L26" s="8"/>
      <c r="M26" s="8"/>
      <c r="N26" s="8"/>
      <c r="O26" s="8"/>
    </row>
    <row r="27" spans="2:15">
      <c r="B27" s="124" t="s">
        <v>379</v>
      </c>
      <c r="C27" s="603">
        <v>0</v>
      </c>
      <c r="D27" s="32"/>
    </row>
    <row r="28" spans="2:15" ht="12.75" thickBot="1">
      <c r="B28" s="115" t="s">
        <v>380</v>
      </c>
      <c r="C28" s="603">
        <v>205000000</v>
      </c>
      <c r="D28" s="32"/>
      <c r="E28" s="391"/>
      <c r="F28" s="392"/>
      <c r="G28" s="41"/>
    </row>
    <row r="29" spans="2:15">
      <c r="B29" s="200"/>
      <c r="C29" s="200"/>
      <c r="D29" s="32"/>
      <c r="E29" s="391"/>
      <c r="F29" s="392"/>
      <c r="G29" s="41"/>
    </row>
    <row r="30" spans="2:15" ht="12.75" thickBot="1">
      <c r="B30" s="32"/>
      <c r="C30" s="32"/>
      <c r="D30" s="32"/>
      <c r="E30" s="32"/>
      <c r="F30" s="32"/>
      <c r="G30" s="41"/>
    </row>
    <row r="31" spans="2:15">
      <c r="B31" s="401" t="s">
        <v>557</v>
      </c>
      <c r="C31" s="403" t="s">
        <v>381</v>
      </c>
      <c r="D31" s="646" t="s">
        <v>382</v>
      </c>
      <c r="E31" s="391"/>
      <c r="F31" s="41"/>
      <c r="G31" s="32"/>
    </row>
    <row r="32" spans="2:15" ht="12.75" thickBot="1">
      <c r="B32" s="374"/>
      <c r="C32" s="647" t="s">
        <v>562</v>
      </c>
      <c r="D32" s="647" t="s">
        <v>562</v>
      </c>
      <c r="E32" s="391"/>
      <c r="F32" s="41"/>
      <c r="G32" s="32"/>
    </row>
    <row r="33" spans="2:13">
      <c r="B33" s="405" t="s">
        <v>383</v>
      </c>
      <c r="C33" s="639">
        <v>3.6522550369439827E-2</v>
      </c>
      <c r="D33" s="639">
        <v>4.8999201853884504E-2</v>
      </c>
      <c r="E33" s="391"/>
      <c r="F33" s="391"/>
      <c r="G33" s="31"/>
    </row>
    <row r="34" spans="2:13" ht="12.75" thickBot="1">
      <c r="B34" s="397" t="s">
        <v>384</v>
      </c>
      <c r="C34" s="648">
        <v>2.8827318116179494E-2</v>
      </c>
      <c r="D34" s="648">
        <v>3.585014083752263E-2</v>
      </c>
      <c r="E34" s="391"/>
      <c r="F34" s="406"/>
      <c r="G34" s="31"/>
    </row>
    <row r="35" spans="2:13">
      <c r="B35" s="41" t="s">
        <v>385</v>
      </c>
      <c r="C35" s="238"/>
      <c r="D35" s="41"/>
      <c r="E35" s="391"/>
      <c r="F35" s="407"/>
      <c r="G35" s="407"/>
    </row>
    <row r="36" spans="2:13">
      <c r="B36" s="41"/>
      <c r="C36" s="238"/>
      <c r="D36" s="41"/>
      <c r="E36" s="391"/>
      <c r="F36" s="407"/>
      <c r="G36" s="407"/>
      <c r="H36" s="659"/>
    </row>
    <row r="37" spans="2:13" ht="12.75" thickBot="1">
      <c r="C37" s="248"/>
      <c r="E37" s="391"/>
      <c r="H37" s="489"/>
    </row>
    <row r="38" spans="2:13">
      <c r="B38" s="401" t="str">
        <f>"Monthly Excess Spread* as at"&amp;" "&amp;TEXT('Page 1'!E15,"mmmm yyyy")</f>
        <v>Monthly Excess Spread* as at March 2017</v>
      </c>
      <c r="C38" s="403" t="s">
        <v>381</v>
      </c>
      <c r="D38" s="403" t="s">
        <v>382</v>
      </c>
      <c r="E38" s="391"/>
      <c r="F38" s="41"/>
      <c r="G38" s="32"/>
    </row>
    <row r="39" spans="2:13" ht="12.75" thickBot="1">
      <c r="B39" s="374"/>
      <c r="C39" s="404"/>
      <c r="D39" s="404"/>
      <c r="E39" s="391"/>
      <c r="F39" s="41"/>
      <c r="G39" s="32"/>
    </row>
    <row r="40" spans="2:13" ht="12.75" thickBot="1">
      <c r="B40" s="408" t="s">
        <v>386</v>
      </c>
      <c r="C40" s="604">
        <v>1.1100200567551699E-2</v>
      </c>
      <c r="D40" s="604">
        <v>1.4745320119074782E-2</v>
      </c>
      <c r="E40" s="391"/>
      <c r="F40" s="638"/>
      <c r="G40" s="31"/>
      <c r="H40" s="659"/>
    </row>
    <row r="41" spans="2:13">
      <c r="B41" s="41" t="s">
        <v>387</v>
      </c>
      <c r="C41" s="238"/>
      <c r="D41" s="41"/>
      <c r="E41" s="391"/>
      <c r="F41" s="407"/>
      <c r="G41" s="407"/>
    </row>
    <row r="42" spans="2:13">
      <c r="B42" s="41"/>
      <c r="C42" s="238"/>
      <c r="D42" s="41"/>
      <c r="E42" s="391"/>
      <c r="F42" s="407"/>
      <c r="G42" s="407"/>
    </row>
    <row r="43" spans="2:13" ht="12.75" thickBot="1">
      <c r="C43" s="248"/>
      <c r="E43" s="391"/>
    </row>
    <row r="44" spans="2:13">
      <c r="B44" s="107" t="s">
        <v>388</v>
      </c>
      <c r="C44" s="600">
        <v>184596329.18000001</v>
      </c>
    </row>
    <row r="45" spans="2:13">
      <c r="B45" s="409" t="s">
        <v>389</v>
      </c>
      <c r="C45" s="549">
        <v>0</v>
      </c>
    </row>
    <row r="46" spans="2:13">
      <c r="B46" s="409" t="s">
        <v>390</v>
      </c>
      <c r="C46" s="549">
        <v>0</v>
      </c>
    </row>
    <row r="47" spans="2:13" ht="12.75" thickBot="1">
      <c r="B47" s="410" t="s">
        <v>391</v>
      </c>
      <c r="C47" s="411">
        <v>0</v>
      </c>
    </row>
    <row r="48" spans="2:13" ht="12.75" thickBot="1">
      <c r="B48" s="115" t="s">
        <v>392</v>
      </c>
      <c r="C48" s="411">
        <f>SUM(C44:C47)</f>
        <v>184596329.18000001</v>
      </c>
      <c r="M48" s="53" t="s">
        <v>393</v>
      </c>
    </row>
    <row r="49" spans="2:7" ht="12.75" thickBot="1"/>
    <row r="50" spans="2:7">
      <c r="B50" s="401" t="str">
        <f>"Accounts as at "&amp;" "&amp;TEXT(EOMONTH('Page 1'!E15,0),"dd mmmm yyyy")</f>
        <v>Accounts as at  31 March 2017</v>
      </c>
      <c r="C50" s="716" t="s">
        <v>12</v>
      </c>
      <c r="D50" s="717"/>
      <c r="E50" s="412" t="s">
        <v>394</v>
      </c>
      <c r="F50" s="413" t="s">
        <v>395</v>
      </c>
    </row>
    <row r="51" spans="2:7" ht="12.75" thickBot="1">
      <c r="B51" s="374"/>
      <c r="C51" s="718"/>
      <c r="D51" s="719"/>
      <c r="E51" s="404"/>
      <c r="F51" s="650"/>
    </row>
    <row r="52" spans="2:7">
      <c r="B52" s="107" t="s">
        <v>396</v>
      </c>
      <c r="C52" s="720" t="s">
        <v>397</v>
      </c>
      <c r="D52" s="721"/>
      <c r="E52" s="107" t="s">
        <v>398</v>
      </c>
      <c r="F52" s="664">
        <v>210042741.84999999</v>
      </c>
    </row>
    <row r="53" spans="2:7">
      <c r="B53" s="409" t="s">
        <v>399</v>
      </c>
      <c r="C53" s="722" t="s">
        <v>397</v>
      </c>
      <c r="D53" s="723"/>
      <c r="E53" s="409" t="s">
        <v>398</v>
      </c>
      <c r="F53" s="664">
        <v>403791619.19</v>
      </c>
      <c r="G53" s="235"/>
    </row>
    <row r="54" spans="2:7">
      <c r="B54" s="409" t="s">
        <v>400</v>
      </c>
      <c r="C54" s="722" t="s">
        <v>397</v>
      </c>
      <c r="D54" s="723"/>
      <c r="E54" s="409" t="s">
        <v>401</v>
      </c>
      <c r="F54" s="549">
        <v>2.73</v>
      </c>
    </row>
    <row r="55" spans="2:7" ht="12.75" thickBot="1">
      <c r="B55" s="410" t="s">
        <v>402</v>
      </c>
      <c r="C55" s="724" t="s">
        <v>46</v>
      </c>
      <c r="D55" s="725"/>
      <c r="E55" s="649" t="s">
        <v>275</v>
      </c>
      <c r="F55" s="411">
        <v>0</v>
      </c>
    </row>
    <row r="56" spans="2:7">
      <c r="B56" s="41"/>
    </row>
    <row r="58" spans="2:7">
      <c r="C58" s="248"/>
    </row>
    <row r="60" spans="2:7">
      <c r="F60" s="414"/>
    </row>
    <row r="63" spans="2:7">
      <c r="F63" s="414"/>
    </row>
    <row r="68" spans="6:6">
      <c r="F68" s="41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March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Normal="80" zoomScaleSheetLayoutView="100" workbookViewId="0"/>
  </sheetViews>
  <sheetFormatPr defaultColWidth="9.140625" defaultRowHeight="12"/>
  <cols>
    <col min="1" max="1" width="13.42578125" style="74" customWidth="1"/>
    <col min="2" max="2" width="37" style="490" customWidth="1"/>
    <col min="3" max="3" width="16.85546875" style="440" bestFit="1" customWidth="1"/>
    <col min="4" max="4" width="8.5703125" style="74" customWidth="1"/>
    <col min="5" max="5" width="36.140625" style="490" customWidth="1"/>
    <col min="6" max="6" width="20" style="490" customWidth="1"/>
    <col min="7" max="7" width="9.42578125" style="74" customWidth="1"/>
    <col min="8" max="8" width="57.5703125" style="490" customWidth="1"/>
    <col min="9" max="9" width="15.85546875" style="449" bestFit="1" customWidth="1"/>
    <col min="10" max="10" width="1.7109375" style="490" customWidth="1"/>
    <col min="11" max="16384" width="9.140625" style="490"/>
  </cols>
  <sheetData>
    <row r="1" spans="1:9" ht="12.75" thickBot="1">
      <c r="A1" s="415" t="s">
        <v>403</v>
      </c>
      <c r="B1" s="117"/>
      <c r="C1" s="416"/>
      <c r="D1" s="417"/>
      <c r="E1" s="572"/>
      <c r="F1" s="418"/>
      <c r="G1" s="417"/>
      <c r="H1" s="418"/>
      <c r="I1" s="419"/>
    </row>
    <row r="2" spans="1:9">
      <c r="B2" s="126"/>
      <c r="C2" s="420"/>
      <c r="D2" s="421"/>
      <c r="E2" s="422"/>
      <c r="F2" s="422"/>
      <c r="G2" s="421"/>
      <c r="H2" s="422"/>
      <c r="I2" s="423"/>
    </row>
    <row r="3" spans="1:9">
      <c r="B3" s="424" t="s">
        <v>404</v>
      </c>
      <c r="C3" s="425"/>
      <c r="D3" s="426"/>
      <c r="E3" s="424" t="s">
        <v>405</v>
      </c>
      <c r="F3" s="427"/>
      <c r="G3" s="426"/>
      <c r="H3" s="424" t="s">
        <v>406</v>
      </c>
      <c r="I3" s="424"/>
    </row>
    <row r="4" spans="1:9">
      <c r="B4" s="428" t="str">
        <f>"*for distribution period  "&amp;TEXT(EOMONTH('Page 1'!E15,-2)+1,"dd mmmm yyyy")&amp;"- "&amp;TEXT(EOMONTH('Page 1'!E15,-1)+1,"dd mmmm yyyy")</f>
        <v>*for distribution period  01 February 2017- 01 March 2017</v>
      </c>
      <c r="C4" s="429"/>
      <c r="D4" s="426"/>
      <c r="E4" s="428" t="s">
        <v>554</v>
      </c>
      <c r="F4" s="431"/>
      <c r="G4" s="426"/>
      <c r="H4" s="428" t="s">
        <v>554</v>
      </c>
      <c r="I4" s="432"/>
    </row>
    <row r="5" spans="1:9">
      <c r="A5" s="433" t="s">
        <v>407</v>
      </c>
      <c r="B5" s="432" t="s">
        <v>408</v>
      </c>
      <c r="C5" s="516">
        <v>0</v>
      </c>
      <c r="D5" s="426" t="s">
        <v>407</v>
      </c>
      <c r="E5" s="432" t="s">
        <v>409</v>
      </c>
      <c r="F5" s="516">
        <v>0</v>
      </c>
      <c r="G5" s="426" t="s">
        <v>407</v>
      </c>
      <c r="H5" s="434" t="s">
        <v>410</v>
      </c>
      <c r="I5" s="516">
        <v>0</v>
      </c>
    </row>
    <row r="6" spans="1:9">
      <c r="A6" s="433"/>
      <c r="B6" s="432" t="s">
        <v>411</v>
      </c>
      <c r="C6" s="516">
        <v>0</v>
      </c>
      <c r="D6" s="426"/>
      <c r="E6" s="432" t="s">
        <v>412</v>
      </c>
      <c r="F6" s="516">
        <v>0</v>
      </c>
      <c r="G6" s="426"/>
      <c r="H6" s="432" t="s">
        <v>413</v>
      </c>
      <c r="I6" s="516">
        <v>0</v>
      </c>
    </row>
    <row r="7" spans="1:9" ht="12.75" thickBot="1">
      <c r="A7" s="433"/>
      <c r="B7" s="432"/>
      <c r="C7" s="435"/>
      <c r="D7" s="426"/>
      <c r="E7" s="432" t="s">
        <v>414</v>
      </c>
      <c r="F7" s="516">
        <v>0</v>
      </c>
      <c r="G7" s="426"/>
      <c r="H7" s="432" t="s">
        <v>415</v>
      </c>
      <c r="I7" s="516">
        <v>0</v>
      </c>
    </row>
    <row r="8" spans="1:9" ht="13.5" thickTop="1" thickBot="1">
      <c r="A8" s="433"/>
      <c r="B8" s="432"/>
      <c r="C8" s="436"/>
      <c r="D8" s="426"/>
      <c r="E8" s="432"/>
      <c r="F8" s="517"/>
      <c r="G8" s="426"/>
      <c r="H8" s="437"/>
      <c r="I8" s="517"/>
    </row>
    <row r="9" spans="1:9" ht="12.75" thickTop="1">
      <c r="A9" s="433" t="s">
        <v>416</v>
      </c>
      <c r="B9" s="432" t="s">
        <v>547</v>
      </c>
      <c r="C9" s="516">
        <v>256153.46</v>
      </c>
      <c r="D9" s="426"/>
      <c r="E9" s="432"/>
      <c r="F9" s="518"/>
      <c r="G9" s="426"/>
      <c r="H9" s="437"/>
      <c r="I9" s="518"/>
    </row>
    <row r="10" spans="1:9">
      <c r="A10" s="433"/>
      <c r="B10" s="432"/>
      <c r="C10" s="420"/>
      <c r="D10" s="426" t="s">
        <v>416</v>
      </c>
      <c r="E10" s="432" t="s">
        <v>417</v>
      </c>
      <c r="F10" s="516">
        <v>0</v>
      </c>
      <c r="G10" s="426" t="s">
        <v>416</v>
      </c>
      <c r="H10" s="437" t="s">
        <v>414</v>
      </c>
      <c r="I10" s="516">
        <v>0</v>
      </c>
    </row>
    <row r="11" spans="1:9" ht="12.75" thickBot="1">
      <c r="A11" s="433"/>
      <c r="B11" s="432"/>
      <c r="C11" s="420"/>
      <c r="D11" s="426"/>
      <c r="E11" s="432"/>
      <c r="F11" s="517"/>
      <c r="I11" s="517"/>
    </row>
    <row r="12" spans="1:9" ht="12.75" thickTop="1">
      <c r="A12" s="433" t="s">
        <v>418</v>
      </c>
      <c r="B12" s="434" t="s">
        <v>19</v>
      </c>
      <c r="C12" s="516">
        <v>6731102.5899999999</v>
      </c>
      <c r="D12" s="426"/>
      <c r="E12" s="432"/>
      <c r="F12" s="518"/>
      <c r="H12" s="437"/>
      <c r="I12" s="518"/>
    </row>
    <row r="13" spans="1:9">
      <c r="A13" s="433"/>
      <c r="B13" s="432" t="s">
        <v>23</v>
      </c>
      <c r="C13" s="516">
        <f>'Page 3'!N8-'Page 9'!C12-'Page 9'!C9-C6</f>
        <v>6031640.4500000002</v>
      </c>
      <c r="D13" s="426" t="s">
        <v>418</v>
      </c>
      <c r="E13" s="434" t="s">
        <v>419</v>
      </c>
      <c r="F13" s="516"/>
      <c r="G13" s="426" t="s">
        <v>418</v>
      </c>
      <c r="H13" s="438" t="s">
        <v>420</v>
      </c>
      <c r="I13" s="516">
        <v>0</v>
      </c>
    </row>
    <row r="14" spans="1:9" ht="12.75" thickBot="1">
      <c r="A14" s="433"/>
      <c r="B14" s="432"/>
      <c r="C14" s="448"/>
      <c r="D14" s="439"/>
      <c r="E14" s="434" t="s">
        <v>421</v>
      </c>
      <c r="F14" s="516">
        <v>0</v>
      </c>
      <c r="G14" s="426"/>
      <c r="H14" s="438" t="s">
        <v>422</v>
      </c>
      <c r="I14" s="516">
        <v>0</v>
      </c>
    </row>
    <row r="15" spans="1:9" ht="13.5" thickTop="1" thickBot="1">
      <c r="A15" s="433"/>
      <c r="B15" s="432"/>
      <c r="D15" s="426"/>
      <c r="E15" s="441"/>
      <c r="F15" s="517"/>
      <c r="G15" s="426"/>
      <c r="H15" s="438" t="s">
        <v>423</v>
      </c>
      <c r="I15" s="516">
        <v>0</v>
      </c>
    </row>
    <row r="16" spans="1:9" ht="13.5" thickTop="1" thickBot="1">
      <c r="A16" s="433"/>
      <c r="B16" s="432"/>
      <c r="C16" s="436"/>
      <c r="D16" s="426"/>
      <c r="E16" s="432"/>
      <c r="F16" s="518"/>
      <c r="G16" s="426"/>
      <c r="H16" s="437"/>
      <c r="I16" s="517"/>
    </row>
    <row r="17" spans="1:17" ht="12.75" thickTop="1">
      <c r="A17" s="433"/>
      <c r="D17" s="426" t="s">
        <v>424</v>
      </c>
      <c r="E17" s="441" t="s">
        <v>425</v>
      </c>
      <c r="F17" s="516">
        <v>0</v>
      </c>
      <c r="G17" s="426"/>
      <c r="H17" s="437"/>
      <c r="I17" s="518"/>
    </row>
    <row r="18" spans="1:17" ht="12.75" thickBot="1">
      <c r="A18" s="433"/>
      <c r="B18" s="424" t="s">
        <v>426</v>
      </c>
      <c r="C18" s="424"/>
      <c r="D18" s="426"/>
      <c r="E18" s="432"/>
      <c r="F18" s="517"/>
      <c r="G18" s="426" t="s">
        <v>424</v>
      </c>
      <c r="H18" s="438" t="s">
        <v>427</v>
      </c>
      <c r="I18" s="516">
        <v>0</v>
      </c>
    </row>
    <row r="19" spans="1:17" ht="12.75" thickTop="1">
      <c r="A19" s="433"/>
      <c r="B19" s="428"/>
      <c r="C19" s="434"/>
      <c r="D19" s="426"/>
      <c r="E19" s="432"/>
      <c r="F19" s="518"/>
      <c r="G19" s="426"/>
      <c r="H19" s="438" t="s">
        <v>428</v>
      </c>
      <c r="I19" s="516">
        <v>0</v>
      </c>
    </row>
    <row r="20" spans="1:17">
      <c r="A20" s="433"/>
      <c r="B20" s="432"/>
      <c r="C20" s="420"/>
      <c r="D20" s="426" t="s">
        <v>429</v>
      </c>
      <c r="E20" s="434" t="s">
        <v>430</v>
      </c>
      <c r="F20" s="516">
        <v>0</v>
      </c>
      <c r="G20" s="426" t="s">
        <v>429</v>
      </c>
      <c r="H20" s="438" t="s">
        <v>431</v>
      </c>
      <c r="I20" s="516">
        <v>0</v>
      </c>
    </row>
    <row r="21" spans="1:17">
      <c r="A21" s="433" t="s">
        <v>407</v>
      </c>
      <c r="B21" s="432" t="s">
        <v>19</v>
      </c>
      <c r="C21" s="516">
        <v>96422100.420000002</v>
      </c>
      <c r="D21" s="426" t="s">
        <v>432</v>
      </c>
      <c r="E21" s="432" t="s">
        <v>433</v>
      </c>
      <c r="F21" s="516">
        <v>0</v>
      </c>
      <c r="G21" s="426"/>
      <c r="H21" s="438" t="s">
        <v>428</v>
      </c>
      <c r="I21" s="516">
        <v>0</v>
      </c>
    </row>
    <row r="22" spans="1:17" ht="15.75" thickBot="1">
      <c r="A22" s="433"/>
      <c r="B22" s="432"/>
      <c r="C22" s="442"/>
      <c r="D22" s="426"/>
      <c r="F22" s="519"/>
      <c r="G22" s="426" t="s">
        <v>432</v>
      </c>
      <c r="H22" s="438" t="s">
        <v>434</v>
      </c>
      <c r="I22" s="516">
        <v>0</v>
      </c>
    </row>
    <row r="23" spans="1:17" ht="15.75" thickTop="1">
      <c r="A23" s="433"/>
      <c r="B23" s="432"/>
      <c r="D23" s="426"/>
      <c r="E23" s="432"/>
      <c r="F23" s="519"/>
      <c r="G23" s="426"/>
      <c r="H23" s="438" t="s">
        <v>428</v>
      </c>
      <c r="I23" s="516">
        <v>0</v>
      </c>
    </row>
    <row r="24" spans="1:17">
      <c r="A24" s="433" t="s">
        <v>416</v>
      </c>
      <c r="B24" s="432" t="s">
        <v>23</v>
      </c>
      <c r="C24" s="516">
        <v>0</v>
      </c>
      <c r="D24" s="426" t="s">
        <v>435</v>
      </c>
      <c r="E24" s="434" t="s">
        <v>436</v>
      </c>
      <c r="F24" s="516">
        <v>0</v>
      </c>
      <c r="G24" s="426" t="s">
        <v>435</v>
      </c>
      <c r="H24" s="438" t="s">
        <v>437</v>
      </c>
      <c r="I24" s="516">
        <v>0</v>
      </c>
    </row>
    <row r="25" spans="1:17" ht="12.75" thickBot="1">
      <c r="A25" s="433"/>
      <c r="B25" s="432"/>
      <c r="C25" s="442"/>
      <c r="D25" s="426" t="s">
        <v>438</v>
      </c>
      <c r="E25" s="432" t="s">
        <v>439</v>
      </c>
      <c r="F25" s="516">
        <v>0</v>
      </c>
      <c r="G25" s="426"/>
      <c r="H25" s="438" t="s">
        <v>428</v>
      </c>
      <c r="I25" s="516">
        <v>0</v>
      </c>
    </row>
    <row r="26" spans="1:17" ht="12" customHeight="1" thickTop="1">
      <c r="A26" s="433"/>
      <c r="B26" s="422"/>
      <c r="C26" s="420"/>
      <c r="D26" s="426"/>
      <c r="E26" s="168"/>
      <c r="F26" s="519"/>
      <c r="G26" s="426"/>
      <c r="H26" s="437"/>
      <c r="I26" s="518"/>
      <c r="J26" s="168"/>
      <c r="K26" s="168"/>
      <c r="L26" s="168"/>
      <c r="M26" s="168"/>
      <c r="N26" s="168"/>
      <c r="O26" s="168"/>
      <c r="P26" s="168"/>
      <c r="Q26" s="168"/>
    </row>
    <row r="27" spans="1:17">
      <c r="B27" s="422"/>
      <c r="D27" s="426" t="s">
        <v>440</v>
      </c>
      <c r="E27" s="434" t="s">
        <v>441</v>
      </c>
      <c r="F27" s="516">
        <v>0</v>
      </c>
      <c r="G27" s="426" t="s">
        <v>438</v>
      </c>
      <c r="H27" s="437" t="s">
        <v>442</v>
      </c>
      <c r="I27" s="516">
        <f>+F45</f>
        <v>0</v>
      </c>
    </row>
    <row r="28" spans="1:17" ht="12.75" thickBot="1">
      <c r="B28" s="432"/>
      <c r="D28" s="426" t="s">
        <v>443</v>
      </c>
      <c r="E28" s="432" t="s">
        <v>444</v>
      </c>
      <c r="F28" s="516">
        <v>0</v>
      </c>
      <c r="G28" s="426"/>
      <c r="H28" s="437"/>
      <c r="I28" s="517"/>
    </row>
    <row r="29" spans="1:17" ht="15.75" customHeight="1" thickTop="1">
      <c r="B29" s="432"/>
      <c r="C29" s="436"/>
      <c r="D29" s="426"/>
      <c r="F29" s="519"/>
      <c r="G29" s="426"/>
      <c r="H29" s="437"/>
      <c r="I29" s="518"/>
    </row>
    <row r="30" spans="1:17">
      <c r="B30" s="628"/>
      <c r="C30" s="436"/>
      <c r="D30" s="426" t="s">
        <v>445</v>
      </c>
      <c r="E30" s="434" t="s">
        <v>446</v>
      </c>
      <c r="F30" s="516">
        <v>0</v>
      </c>
      <c r="G30" s="426" t="s">
        <v>440</v>
      </c>
      <c r="H30" s="437" t="s">
        <v>447</v>
      </c>
      <c r="I30" s="516">
        <v>0</v>
      </c>
    </row>
    <row r="31" spans="1:17" ht="12.75" thickBot="1">
      <c r="B31" s="432"/>
      <c r="C31" s="436"/>
      <c r="D31" s="426" t="s">
        <v>448</v>
      </c>
      <c r="E31" s="432" t="s">
        <v>449</v>
      </c>
      <c r="F31" s="516">
        <v>0</v>
      </c>
      <c r="G31" s="426"/>
      <c r="H31" s="437"/>
      <c r="I31" s="517"/>
    </row>
    <row r="32" spans="1:17" ht="13.5" thickTop="1" thickBot="1">
      <c r="B32" s="432"/>
      <c r="C32" s="436"/>
      <c r="D32" s="426"/>
      <c r="E32" s="432"/>
      <c r="F32" s="517"/>
      <c r="G32" s="426"/>
      <c r="H32" s="437"/>
      <c r="I32" s="518"/>
    </row>
    <row r="33" spans="2:9" ht="12.75" thickTop="1">
      <c r="B33" s="432"/>
      <c r="C33" s="436"/>
      <c r="D33" s="426"/>
      <c r="E33" s="432"/>
      <c r="F33" s="520"/>
      <c r="G33" s="426"/>
      <c r="H33" s="437"/>
      <c r="I33" s="518"/>
    </row>
    <row r="34" spans="2:9">
      <c r="B34" s="432"/>
      <c r="C34" s="436"/>
      <c r="D34" s="426" t="s">
        <v>450</v>
      </c>
      <c r="E34" s="432" t="s">
        <v>451</v>
      </c>
      <c r="F34" s="516">
        <v>0</v>
      </c>
      <c r="G34" s="426" t="s">
        <v>443</v>
      </c>
      <c r="H34" s="438" t="s">
        <v>452</v>
      </c>
      <c r="I34" s="516">
        <v>0</v>
      </c>
    </row>
    <row r="35" spans="2:9" ht="15.75" thickBot="1">
      <c r="B35" s="432"/>
      <c r="C35" s="443"/>
      <c r="D35" s="426"/>
      <c r="E35" s="432"/>
      <c r="F35" s="517"/>
      <c r="G35" s="426"/>
      <c r="I35" s="517"/>
    </row>
    <row r="36" spans="2:9" ht="12.75" thickTop="1">
      <c r="B36" s="432"/>
      <c r="C36" s="436"/>
      <c r="D36" s="426"/>
      <c r="E36" s="432"/>
      <c r="F36" s="520"/>
      <c r="G36" s="426"/>
      <c r="I36" s="518"/>
    </row>
    <row r="37" spans="2:9" ht="15">
      <c r="B37" s="432"/>
      <c r="C37" s="436"/>
      <c r="D37" s="426" t="s">
        <v>453</v>
      </c>
      <c r="E37" s="432" t="s">
        <v>454</v>
      </c>
      <c r="F37" s="516">
        <v>0</v>
      </c>
      <c r="G37" s="426"/>
      <c r="I37" s="519"/>
    </row>
    <row r="38" spans="2:9">
      <c r="B38" s="432"/>
      <c r="C38" s="436"/>
      <c r="D38" s="426" t="s">
        <v>455</v>
      </c>
      <c r="E38" s="432" t="s">
        <v>456</v>
      </c>
      <c r="F38" s="516">
        <v>0</v>
      </c>
      <c r="G38" s="426"/>
      <c r="H38" s="424" t="s">
        <v>457</v>
      </c>
      <c r="I38" s="521"/>
    </row>
    <row r="39" spans="2:9">
      <c r="B39" s="432"/>
      <c r="C39" s="436"/>
      <c r="D39" s="426" t="s">
        <v>458</v>
      </c>
      <c r="E39" s="432" t="s">
        <v>459</v>
      </c>
      <c r="F39" s="516">
        <v>0</v>
      </c>
      <c r="G39" s="426"/>
      <c r="H39" s="432"/>
      <c r="I39" s="518"/>
    </row>
    <row r="40" spans="2:9">
      <c r="B40" s="432"/>
      <c r="C40" s="436"/>
      <c r="D40" s="426"/>
      <c r="E40" s="432"/>
      <c r="F40" s="516"/>
      <c r="G40" s="426" t="s">
        <v>407</v>
      </c>
      <c r="H40" s="438" t="s">
        <v>460</v>
      </c>
      <c r="I40" s="516">
        <v>0</v>
      </c>
    </row>
    <row r="41" spans="2:9">
      <c r="B41" s="432"/>
      <c r="C41" s="436"/>
      <c r="D41" s="426"/>
      <c r="E41" s="432"/>
      <c r="F41" s="518"/>
      <c r="G41" s="426"/>
      <c r="H41" s="438" t="s">
        <v>461</v>
      </c>
      <c r="I41" s="516">
        <v>0</v>
      </c>
    </row>
    <row r="42" spans="2:9">
      <c r="B42" s="432"/>
      <c r="C42" s="436"/>
      <c r="D42" s="426" t="s">
        <v>462</v>
      </c>
      <c r="E42" s="432" t="s">
        <v>463</v>
      </c>
      <c r="F42" s="516">
        <v>0</v>
      </c>
      <c r="G42" s="426" t="s">
        <v>416</v>
      </c>
      <c r="H42" s="438" t="s">
        <v>464</v>
      </c>
      <c r="I42" s="516">
        <v>0</v>
      </c>
    </row>
    <row r="43" spans="2:9" ht="12.75" thickBot="1">
      <c r="B43" s="432"/>
      <c r="C43" s="436"/>
      <c r="D43" s="426"/>
      <c r="E43" s="432"/>
      <c r="F43" s="517"/>
      <c r="G43" s="426"/>
      <c r="H43" s="438" t="s">
        <v>461</v>
      </c>
      <c r="I43" s="516">
        <v>0</v>
      </c>
    </row>
    <row r="44" spans="2:9" ht="12.75" thickTop="1">
      <c r="B44" s="432"/>
      <c r="C44" s="436"/>
      <c r="D44" s="426"/>
      <c r="E44" s="432"/>
      <c r="F44" s="518"/>
      <c r="G44" s="426" t="s">
        <v>418</v>
      </c>
      <c r="H44" s="438" t="s">
        <v>465</v>
      </c>
      <c r="I44" s="516">
        <v>0</v>
      </c>
    </row>
    <row r="45" spans="2:9">
      <c r="B45" s="432"/>
      <c r="C45" s="436"/>
      <c r="D45" s="426" t="s">
        <v>546</v>
      </c>
      <c r="E45" s="434" t="s">
        <v>466</v>
      </c>
      <c r="F45" s="516">
        <v>0</v>
      </c>
      <c r="G45" s="426"/>
      <c r="H45" s="438" t="s">
        <v>461</v>
      </c>
      <c r="I45" s="516">
        <v>0</v>
      </c>
    </row>
    <row r="46" spans="2:9" ht="12.75" thickBot="1">
      <c r="B46" s="432"/>
      <c r="C46" s="436"/>
      <c r="D46" s="426"/>
      <c r="E46" s="432"/>
      <c r="F46" s="517"/>
      <c r="G46" s="426" t="s">
        <v>424</v>
      </c>
      <c r="H46" s="438" t="s">
        <v>467</v>
      </c>
      <c r="I46" s="516">
        <v>0</v>
      </c>
    </row>
    <row r="47" spans="2:9" ht="12.75" thickTop="1">
      <c r="B47" s="432"/>
      <c r="C47" s="436"/>
      <c r="D47" s="426"/>
      <c r="E47" s="432"/>
      <c r="F47" s="518"/>
      <c r="G47" s="426"/>
      <c r="H47" s="438" t="s">
        <v>461</v>
      </c>
      <c r="I47" s="516">
        <v>0</v>
      </c>
    </row>
    <row r="48" spans="2:9" ht="36">
      <c r="B48" s="432"/>
      <c r="C48" s="436"/>
      <c r="D48" s="426" t="s">
        <v>468</v>
      </c>
      <c r="E48" s="444" t="s">
        <v>469</v>
      </c>
      <c r="F48" s="642">
        <v>0</v>
      </c>
      <c r="G48" s="445" t="s">
        <v>429</v>
      </c>
      <c r="H48" s="446" t="s">
        <v>470</v>
      </c>
      <c r="I48" s="522">
        <v>0</v>
      </c>
    </row>
    <row r="49" spans="2:9" ht="12.75" thickBot="1">
      <c r="B49" s="432"/>
      <c r="C49" s="436"/>
      <c r="D49" s="426"/>
      <c r="E49" s="447"/>
      <c r="F49" s="523"/>
      <c r="I49" s="448"/>
    </row>
    <row r="50" spans="2:9" ht="12.75" thickTop="1">
      <c r="B50" s="432"/>
      <c r="C50" s="436"/>
      <c r="D50" s="426" t="s">
        <v>564</v>
      </c>
      <c r="E50" s="434" t="s">
        <v>563</v>
      </c>
      <c r="F50" s="516">
        <v>0</v>
      </c>
      <c r="G50" s="426"/>
      <c r="I50" s="490"/>
    </row>
    <row r="51" spans="2:9" ht="12.75" thickBot="1">
      <c r="B51" s="432"/>
      <c r="C51" s="436"/>
      <c r="D51" s="426"/>
      <c r="E51" s="434"/>
      <c r="F51" s="517"/>
    </row>
    <row r="52" spans="2:9" ht="12.75" thickTop="1">
      <c r="B52" s="432"/>
      <c r="C52" s="436"/>
      <c r="D52" s="426"/>
      <c r="E52" s="434"/>
      <c r="F52" s="518"/>
      <c r="G52" s="426"/>
      <c r="I52" s="490"/>
    </row>
    <row r="53" spans="2:9">
      <c r="B53" s="432"/>
      <c r="C53" s="436"/>
      <c r="D53" s="426" t="s">
        <v>561</v>
      </c>
      <c r="E53" s="434" t="s">
        <v>471</v>
      </c>
      <c r="F53" s="516">
        <v>0</v>
      </c>
      <c r="G53" s="426"/>
    </row>
    <row r="54" spans="2:9" ht="12.75" thickBot="1">
      <c r="B54" s="432"/>
      <c r="C54" s="436"/>
      <c r="D54" s="450"/>
      <c r="E54" s="434"/>
      <c r="F54" s="517"/>
      <c r="G54" s="426"/>
    </row>
    <row r="55" spans="2:9" ht="12.75" thickTop="1">
      <c r="B55" s="432"/>
      <c r="C55" s="436"/>
      <c r="D55" s="450"/>
      <c r="E55" s="434"/>
      <c r="F55" s="518"/>
      <c r="G55" s="426"/>
    </row>
    <row r="56" spans="2:9">
      <c r="B56" s="432"/>
      <c r="C56" s="436"/>
      <c r="D56" s="426" t="s">
        <v>560</v>
      </c>
      <c r="E56" s="434" t="s">
        <v>472</v>
      </c>
      <c r="F56" s="516">
        <v>0</v>
      </c>
      <c r="G56" s="426"/>
    </row>
    <row r="57" spans="2:9" ht="12.75" thickBot="1">
      <c r="B57" s="432"/>
      <c r="C57" s="436"/>
      <c r="D57" s="450"/>
      <c r="E57" s="432"/>
      <c r="F57" s="517"/>
      <c r="G57" s="426"/>
    </row>
    <row r="58" spans="2:9" ht="12.75" thickTop="1">
      <c r="B58" s="432"/>
      <c r="C58" s="420"/>
      <c r="D58" s="450"/>
      <c r="E58" s="451"/>
      <c r="F58" s="423"/>
      <c r="G58" s="426"/>
    </row>
    <row r="59" spans="2:9">
      <c r="B59" s="422"/>
      <c r="C59" s="420"/>
      <c r="D59" s="450"/>
      <c r="E59" s="424" t="s">
        <v>473</v>
      </c>
      <c r="F59" s="424"/>
      <c r="G59" s="452"/>
    </row>
    <row r="60" spans="2:9">
      <c r="B60" s="432"/>
      <c r="C60" s="420"/>
      <c r="E60" s="430" t="s">
        <v>528</v>
      </c>
      <c r="G60" s="450"/>
    </row>
    <row r="61" spans="2:9">
      <c r="B61" s="422"/>
      <c r="C61" s="490"/>
      <c r="G61" s="450"/>
    </row>
    <row r="62" spans="2:9">
      <c r="B62" s="422"/>
      <c r="C62" s="490"/>
      <c r="D62" s="426" t="s">
        <v>407</v>
      </c>
      <c r="E62" s="434" t="s">
        <v>474</v>
      </c>
      <c r="F62" s="516">
        <v>0</v>
      </c>
    </row>
    <row r="63" spans="2:9">
      <c r="B63" s="422"/>
      <c r="C63" s="420"/>
      <c r="D63" s="426"/>
      <c r="E63" s="432"/>
      <c r="F63" s="524"/>
    </row>
    <row r="64" spans="2:9">
      <c r="B64" s="422"/>
      <c r="C64" s="420"/>
      <c r="D64" s="426"/>
      <c r="E64" s="432"/>
      <c r="F64" s="518"/>
      <c r="G64" s="450"/>
      <c r="H64" s="451"/>
      <c r="I64" s="423"/>
    </row>
    <row r="65" spans="2:9">
      <c r="B65" s="422"/>
      <c r="C65" s="420"/>
      <c r="D65" s="426" t="s">
        <v>416</v>
      </c>
      <c r="E65" s="453" t="s">
        <v>475</v>
      </c>
      <c r="F65" s="516">
        <v>0</v>
      </c>
      <c r="G65" s="450"/>
      <c r="H65" s="451"/>
      <c r="I65" s="423"/>
    </row>
    <row r="66" spans="2:9" ht="12.75" thickBot="1">
      <c r="B66" s="422"/>
      <c r="C66" s="420"/>
      <c r="D66" s="450"/>
      <c r="E66" s="422"/>
      <c r="F66" s="517"/>
      <c r="G66" s="450"/>
      <c r="H66" s="451"/>
      <c r="I66" s="423"/>
    </row>
    <row r="67" spans="2:9" ht="12.75" thickTop="1">
      <c r="B67" s="422"/>
      <c r="C67" s="420"/>
      <c r="D67" s="450"/>
      <c r="E67" s="422"/>
      <c r="F67" s="520"/>
      <c r="G67" s="450"/>
      <c r="H67" s="451"/>
      <c r="I67" s="423"/>
    </row>
    <row r="68" spans="2:9">
      <c r="B68" s="422"/>
      <c r="C68" s="420"/>
      <c r="D68" s="426" t="s">
        <v>418</v>
      </c>
      <c r="E68" s="453" t="s">
        <v>476</v>
      </c>
      <c r="F68" s="516">
        <v>0</v>
      </c>
      <c r="G68" s="450"/>
    </row>
    <row r="69" spans="2:9">
      <c r="B69" s="422"/>
      <c r="C69" s="420"/>
      <c r="D69" s="426" t="s">
        <v>424</v>
      </c>
      <c r="E69" s="453" t="s">
        <v>477</v>
      </c>
      <c r="F69" s="516">
        <v>0</v>
      </c>
      <c r="G69" s="450"/>
    </row>
    <row r="70" spans="2:9">
      <c r="B70" s="422"/>
      <c r="C70" s="420"/>
      <c r="D70" s="426" t="s">
        <v>429</v>
      </c>
      <c r="E70" s="453" t="s">
        <v>478</v>
      </c>
      <c r="F70" s="516">
        <v>0</v>
      </c>
      <c r="G70" s="450"/>
    </row>
    <row r="71" spans="2:9" ht="12.75" thickBot="1">
      <c r="B71" s="422"/>
      <c r="C71" s="420"/>
      <c r="E71" s="453"/>
      <c r="F71" s="517"/>
      <c r="G71" s="450"/>
    </row>
    <row r="72" spans="2:9" ht="12.75" thickTop="1">
      <c r="B72" s="422"/>
      <c r="C72" s="420"/>
      <c r="E72" s="453"/>
      <c r="F72" s="518"/>
      <c r="G72" s="450"/>
    </row>
    <row r="73" spans="2:9">
      <c r="B73" s="422"/>
      <c r="C73" s="420"/>
      <c r="D73" s="426" t="s">
        <v>432</v>
      </c>
      <c r="E73" s="453" t="s">
        <v>479</v>
      </c>
      <c r="F73" s="516">
        <v>0</v>
      </c>
      <c r="G73" s="450"/>
    </row>
    <row r="74" spans="2:9" ht="12.75" thickBot="1">
      <c r="B74" s="422"/>
      <c r="E74" s="432"/>
      <c r="F74" s="442"/>
      <c r="G74" s="450"/>
    </row>
    <row r="75" spans="2:9" ht="12.75" thickTop="1"/>
    <row r="76" spans="2:9">
      <c r="C76" s="490"/>
    </row>
    <row r="77" spans="2:9">
      <c r="C77" s="490"/>
    </row>
    <row r="78" spans="2:9">
      <c r="C78" s="490"/>
      <c r="E78" s="33"/>
    </row>
    <row r="79" spans="2:9">
      <c r="C79" s="490"/>
    </row>
    <row r="80" spans="2:9">
      <c r="C80" s="490"/>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March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2017-03-28T14:15:26Z</cp:lastPrinted>
  <dcterms:created xsi:type="dcterms:W3CDTF">2016-02-29T13:52:47Z</dcterms:created>
  <dcterms:modified xsi:type="dcterms:W3CDTF">2017-04-26T12:49:08Z</dcterms:modified>
</cp:coreProperties>
</file>